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9"/>
  <workbookPr/>
  <mc:AlternateContent xmlns:mc="http://schemas.openxmlformats.org/markup-compatibility/2006">
    <mc:Choice Requires="x15">
      <x15ac:absPath xmlns:x15ac="http://schemas.microsoft.com/office/spreadsheetml/2010/11/ac" url="https://dundeecitygovuk.sharepoint.com/sites/PLAN&amp;ECON-Planning_Team/Shared Documents/Planning -  Main/Development Plans and Regeneration/Topics/Housing/Housing Land Audit/2026 HLA/HLA 2026 - draft and final versions/Draft/"/>
    </mc:Choice>
  </mc:AlternateContent>
  <xr:revisionPtr revIDLastSave="0" documentId="8_{EFB2D4B2-3990-423B-B0EA-90F91FA72857}" xr6:coauthVersionLast="47" xr6:coauthVersionMax="47" xr10:uidLastSave="{00000000-0000-0000-0000-000000000000}"/>
  <bookViews>
    <workbookView xWindow="28680" yWindow="-1095" windowWidth="29040" windowHeight="15720" firstSheet="4" activeTab="4" xr2:uid="{00000000-000D-0000-FFFF-FFFF00000000}"/>
  </bookViews>
  <sheets>
    <sheet name="Greenfield" sheetId="1" r:id="rId1"/>
    <sheet name="Brownfield" sheetId="4" r:id="rId2"/>
    <sheet name="Small Sites" sheetId="5" r:id="rId3"/>
    <sheet name="Constrained" sheetId="3" r:id="rId4"/>
    <sheet name="Removed" sheetId="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2" l="1"/>
  <c r="Q20" i="2"/>
  <c r="T20" i="2"/>
  <c r="S20" i="2"/>
  <c r="AF4" i="3"/>
  <c r="AF5" i="3"/>
  <c r="AF6" i="3"/>
  <c r="AF7" i="3"/>
  <c r="AF8" i="3"/>
  <c r="AF9" i="3"/>
  <c r="AF10" i="3"/>
  <c r="AF11" i="3"/>
  <c r="AF12" i="3"/>
  <c r="AF3" i="3"/>
  <c r="X61" i="5"/>
  <c r="W61" i="5"/>
  <c r="T61" i="5"/>
  <c r="R61" i="5"/>
  <c r="Q61" i="5"/>
  <c r="S61" i="5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Q53" i="4"/>
  <c r="AJ53" i="4"/>
  <c r="AK53" i="4"/>
  <c r="AL53" i="4"/>
  <c r="AI53" i="4"/>
  <c r="R13" i="1"/>
  <c r="S13" i="1"/>
  <c r="T13" i="1"/>
  <c r="Q13" i="1"/>
  <c r="W13" i="1"/>
  <c r="X13" i="1"/>
  <c r="Y13" i="1"/>
  <c r="Z13" i="1"/>
  <c r="AA13" i="1"/>
  <c r="AB13" i="1"/>
  <c r="AC13" i="1"/>
  <c r="AD13" i="1"/>
  <c r="AE13" i="1"/>
  <c r="V13" i="1"/>
  <c r="U13" i="1"/>
  <c r="AL13" i="1"/>
  <c r="AK13" i="1"/>
  <c r="AJ13" i="1"/>
  <c r="AI13" i="1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3" i="2"/>
  <c r="AF5" i="4"/>
  <c r="AF6" i="4"/>
  <c r="AF7" i="4"/>
  <c r="AF10" i="4"/>
  <c r="AF3" i="4"/>
  <c r="AF11" i="4"/>
  <c r="AF12" i="4"/>
  <c r="AF14" i="4"/>
  <c r="AF15" i="4"/>
  <c r="AF17" i="4"/>
  <c r="AF19" i="4"/>
  <c r="AF20" i="4"/>
  <c r="AF22" i="4"/>
  <c r="AF24" i="4"/>
  <c r="AF25" i="4"/>
  <c r="AF26" i="4"/>
  <c r="AF27" i="4"/>
  <c r="AF28" i="4"/>
  <c r="AF29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8" i="4"/>
  <c r="AF9" i="4"/>
  <c r="AF13" i="4"/>
  <c r="AF16" i="4"/>
  <c r="AF18" i="4"/>
  <c r="AF21" i="4"/>
  <c r="AF23" i="4"/>
  <c r="AF30" i="4"/>
  <c r="AF4" i="4"/>
  <c r="AF10" i="1"/>
  <c r="AF4" i="1"/>
  <c r="AF5" i="1"/>
  <c r="AF6" i="1"/>
  <c r="AF7" i="1"/>
  <c r="AF8" i="1"/>
  <c r="AF9" i="1"/>
  <c r="AF11" i="1"/>
  <c r="AF12" i="1"/>
  <c r="AF3" i="1"/>
  <c r="AF13" i="1" l="1"/>
  <c r="AF53" i="4"/>
</calcChain>
</file>

<file path=xl/sharedStrings.xml><?xml version="1.0" encoding="utf-8"?>
<sst xmlns="http://schemas.openxmlformats.org/spreadsheetml/2006/main" count="2881" uniqueCount="928">
  <si>
    <t>Greenfield  (deliverable &amp; deliverable with contraints)</t>
  </si>
  <si>
    <t>Site reference</t>
  </si>
  <si>
    <t>Site Name</t>
  </si>
  <si>
    <t>LDP2019 reference</t>
  </si>
  <si>
    <t>Site Address</t>
  </si>
  <si>
    <t>UPRN</t>
  </si>
  <si>
    <t>Easting</t>
  </si>
  <si>
    <t>Northing</t>
  </si>
  <si>
    <t>Site area (ha)</t>
  </si>
  <si>
    <t>Year site added</t>
  </si>
  <si>
    <t>LDP/ Windfall/ Other</t>
  </si>
  <si>
    <t>Planning Status</t>
  </si>
  <si>
    <t>Other Detail</t>
  </si>
  <si>
    <t>Planning application reference</t>
  </si>
  <si>
    <t>Last planning approval date</t>
  </si>
  <si>
    <t>Construction Status</t>
  </si>
  <si>
    <t>Construction Start Date</t>
  </si>
  <si>
    <t>Site capacity</t>
  </si>
  <si>
    <t>Units to build</t>
  </si>
  <si>
    <t>Plots completed in survey year</t>
  </si>
  <si>
    <t>Total completions</t>
  </si>
  <si>
    <t>Programmed Y1 (26-27)</t>
  </si>
  <si>
    <t>Programmed Y2 (27-28)</t>
  </si>
  <si>
    <t>Programmed Y3 (28-29)</t>
  </si>
  <si>
    <t>Programmed Y4 (29-30)</t>
  </si>
  <si>
    <t>Programmed Y5 (30-31)</t>
  </si>
  <si>
    <t>Programmed Y6 (31-32)</t>
  </si>
  <si>
    <t>Programmed Y7 (32-33)</t>
  </si>
  <si>
    <t>Programmed Y8 (33-34)</t>
  </si>
  <si>
    <t>Programmed Y9 (34-35)</t>
  </si>
  <si>
    <t>Programmed Y10 (35-36)</t>
  </si>
  <si>
    <t>Later Years</t>
  </si>
  <si>
    <t>Total Programmed</t>
  </si>
  <si>
    <t>Pipeline Timeframe</t>
  </si>
  <si>
    <t>Market/ Affordable/ Mixed</t>
  </si>
  <si>
    <t>Number Market</t>
  </si>
  <si>
    <t>Number Affordable</t>
  </si>
  <si>
    <t>No of flats</t>
  </si>
  <si>
    <t>No of houses</t>
  </si>
  <si>
    <t>Effective/ Constrained/ Small</t>
  </si>
  <si>
    <t>Deliverability Status</t>
  </si>
  <si>
    <t>Action Required</t>
  </si>
  <si>
    <t>Owner</t>
  </si>
  <si>
    <t>Developer</t>
  </si>
  <si>
    <t>Greenfield/ Brownfield</t>
  </si>
  <si>
    <t>VDL Site</t>
  </si>
  <si>
    <t>Self Build</t>
  </si>
  <si>
    <t>Dispute</t>
  </si>
  <si>
    <t>Demolition Information</t>
  </si>
  <si>
    <t>200356A</t>
  </si>
  <si>
    <t>Western Gateway, South Gray Village</t>
  </si>
  <si>
    <t>South Gray Village, Dykes of Gray Road</t>
  </si>
  <si>
    <t>009059095318</t>
  </si>
  <si>
    <t>Windfall</t>
  </si>
  <si>
    <t>Consented (FULL)</t>
  </si>
  <si>
    <t>15/00121/FULM, 16/00370/FULL, 16/01012/MDPO, 17/00938/FULL, 18/00539/FULL, 24/00420/FULL, 25/00442/FULL</t>
  </si>
  <si>
    <t>Started on site</t>
  </si>
  <si>
    <t>Short (1-3yrs)</t>
  </si>
  <si>
    <t>Market</t>
  </si>
  <si>
    <t>Effective</t>
  </si>
  <si>
    <t>Deliverable</t>
  </si>
  <si>
    <t>Springfield</t>
  </si>
  <si>
    <t>Greenfield</t>
  </si>
  <si>
    <t>No</t>
  </si>
  <si>
    <t>200408</t>
  </si>
  <si>
    <t>Western Gateway, West of Dykes of Gray Road</t>
  </si>
  <si>
    <t>Swallow, Land to West of Dykes of Gray Road, Western Gateway</t>
  </si>
  <si>
    <t>009059095083</t>
  </si>
  <si>
    <t>&lt;Null&gt;</t>
  </si>
  <si>
    <t>14/00205/FULM, 16/01023/FULL, 17/00409/MDPO, 23/00168/FULL</t>
  </si>
  <si>
    <t>Medium (4-6Yrs)</t>
  </si>
  <si>
    <t>200738</t>
  </si>
  <si>
    <t>Western Gateway, Liff</t>
  </si>
  <si>
    <t>Liff Phase 2, Dykes of Gray Road</t>
  </si>
  <si>
    <t>009059103276</t>
  </si>
  <si>
    <t>15/00410/FULM, 18/00992/FULL, 25/00346/FULL(35), 25/00348/FULL(42), 25/00349/FULL(23)</t>
  </si>
  <si>
    <t>Barratt &amp; David Wilson, Homes North Scotland</t>
  </si>
  <si>
    <t>201423</t>
  </si>
  <si>
    <t>Pitkerro Mill</t>
  </si>
  <si>
    <t>Land to the West of Pitkerro Mill, _x000D_
Kellas Road</t>
  </si>
  <si>
    <t>009059086632</t>
  </si>
  <si>
    <t>16/00394/FULL</t>
  </si>
  <si>
    <t>South Tay (Dundee) Ltd</t>
  </si>
  <si>
    <t>201821</t>
  </si>
  <si>
    <t>Western Gateway, East of Dykes Of Gray Road</t>
  </si>
  <si>
    <t>H42</t>
  </si>
  <si>
    <t>Land to South of West Green Park and East of Dykes Of Gray Road</t>
  </si>
  <si>
    <t>009059105901</t>
  </si>
  <si>
    <t>LDP</t>
  </si>
  <si>
    <t>Consented (PPiP)</t>
  </si>
  <si>
    <t>23/00617/PPPM</t>
  </si>
  <si>
    <t>Not yet started</t>
  </si>
  <si>
    <t>NHS Tayside</t>
  </si>
  <si>
    <t>201822</t>
  </si>
  <si>
    <t>Western Gateway, Dykes of Gray, North East</t>
  </si>
  <si>
    <t>H43</t>
  </si>
  <si>
    <t>Dykes of Gray, North East</t>
  </si>
  <si>
    <t>009059105903</t>
  </si>
  <si>
    <t>18/01056/FULM, 25/00184/PAN, 25/00426/FULM</t>
  </si>
  <si>
    <t>Long (7-10Yrs)</t>
  </si>
  <si>
    <t>201823</t>
  </si>
  <si>
    <t>Baldragon Farm</t>
  </si>
  <si>
    <t>H44</t>
  </si>
  <si>
    <t>Land to West of St Martin Crescent and North of Adam Crescent</t>
  </si>
  <si>
    <t>009059105904</t>
  </si>
  <si>
    <t>19/00707/FULM</t>
  </si>
  <si>
    <t>Avant Homes Scotland</t>
  </si>
  <si>
    <t>201824B</t>
  </si>
  <si>
    <t>Ballumbie Road Phase 2</t>
  </si>
  <si>
    <t>H45</t>
  </si>
  <si>
    <t>Land to East of Ballumbie Road</t>
  </si>
  <si>
    <t>009059105905</t>
  </si>
  <si>
    <t>20/00423/FULM, 24/00726/FULL, 26/00006/FULL (42), 26/00007/FULL (42), 26/00008/FULL (35)</t>
  </si>
  <si>
    <t>Persimmon Homes North Scotland</t>
  </si>
  <si>
    <t>201829</t>
  </si>
  <si>
    <t>Western Gateway, Dykes of Gray, North West</t>
  </si>
  <si>
    <t>H41</t>
  </si>
  <si>
    <t>Dykes of Gray, North West</t>
  </si>
  <si>
    <t>009059105898</t>
  </si>
  <si>
    <t>No consent</t>
  </si>
  <si>
    <t>201830</t>
  </si>
  <si>
    <t>Linlathen</t>
  </si>
  <si>
    <t>H46</t>
  </si>
  <si>
    <t>Linlathen Road, Broughty Ferry</t>
  </si>
  <si>
    <t>009059105907</t>
  </si>
  <si>
    <t>18/00115/FULM, 19/00799/FULM, 21/00322/FULL, 21/00376/FULL, 21/00677/FULL, 21/00713/FULL</t>
  </si>
  <si>
    <t>Kirkwood Homes</t>
  </si>
  <si>
    <t>Brownfield (deliverable &amp; deliverable with contraints)</t>
  </si>
  <si>
    <t>Whitfield Primary School</t>
  </si>
  <si>
    <t>H27</t>
  </si>
  <si>
    <t>Site Of Whitfield Primary School, Whitfield Drive</t>
  </si>
  <si>
    <t>009059105864</t>
  </si>
  <si>
    <t>19/00716/FULL, 19/00776/FULL</t>
  </si>
  <si>
    <t xml:space="preserve">Mixed </t>
  </si>
  <si>
    <t>Angus HA, George Martin Builders Ltd</t>
  </si>
  <si>
    <t>Brownfield</t>
  </si>
  <si>
    <t>Yes</t>
  </si>
  <si>
    <t>12/00550/DEMOL</t>
  </si>
  <si>
    <t>Pitalpin Street</t>
  </si>
  <si>
    <t>Land To Southeast Of Pitalpin House, Pitalpin Street</t>
  </si>
  <si>
    <t>23/00535/FULL</t>
  </si>
  <si>
    <t>H&amp;H Properties UK Ltd</t>
  </si>
  <si>
    <t>200347</t>
  </si>
  <si>
    <t>Armistead</t>
  </si>
  <si>
    <t>94 Monifieth Road</t>
  </si>
  <si>
    <t>009059039309</t>
  </si>
  <si>
    <t>13/00642/FULL, 16/00179/FULL, 21/00904/FULL</t>
  </si>
  <si>
    <t>H &amp; H Properties Ltd</t>
  </si>
  <si>
    <t>13/00642/FULL
15/00790/DOM1</t>
  </si>
  <si>
    <t>200611</t>
  </si>
  <si>
    <t>Former Homebase Site</t>
  </si>
  <si>
    <t>Riverside Drive</t>
  </si>
  <si>
    <t>009059078799</t>
  </si>
  <si>
    <t>05/00770/FUL, 22/00463/FULL</t>
  </si>
  <si>
    <t>H &amp; H Properties</t>
  </si>
  <si>
    <t>06/01434/DEMOL</t>
  </si>
  <si>
    <t>200909</t>
  </si>
  <si>
    <t>Former Downfield Primary School</t>
  </si>
  <si>
    <t>H11</t>
  </si>
  <si>
    <t>East School Road</t>
  </si>
  <si>
    <t>009059105883</t>
  </si>
  <si>
    <t>20/00076/FULL</t>
  </si>
  <si>
    <t>08/00848/DEMOL</t>
  </si>
  <si>
    <t>200913</t>
  </si>
  <si>
    <t>Former Lawside Academy</t>
  </si>
  <si>
    <t>H09</t>
  </si>
  <si>
    <t>Rannoch Road</t>
  </si>
  <si>
    <t>009059105881</t>
  </si>
  <si>
    <t>Deliverable with contraints</t>
  </si>
  <si>
    <t>Dundee City Council</t>
  </si>
  <si>
    <t>201008</t>
  </si>
  <si>
    <t>Bowling Green East</t>
  </si>
  <si>
    <t>H31</t>
  </si>
  <si>
    <t>Lothian Crescent</t>
  </si>
  <si>
    <t>009059105874</t>
  </si>
  <si>
    <t>201010</t>
  </si>
  <si>
    <t>Tranent Grove, Phase 3</t>
  </si>
  <si>
    <t>H28</t>
  </si>
  <si>
    <t>Tranent Grove</t>
  </si>
  <si>
    <t>009059105865</t>
  </si>
  <si>
    <t xml:space="preserve">22/00461/FULL, 24/00424/FULL </t>
  </si>
  <si>
    <t>201012</t>
  </si>
  <si>
    <t>Former Whitfield Shopping Centre</t>
  </si>
  <si>
    <t>H25</t>
  </si>
  <si>
    <t>Whitfield Drive and Lothian Crescent</t>
  </si>
  <si>
    <t>009059105860</t>
  </si>
  <si>
    <t>Pre-application</t>
  </si>
  <si>
    <t>PREAPP/041/2021, 19/00716/FULL (Part)</t>
  </si>
  <si>
    <t>Mixed</t>
  </si>
  <si>
    <t>201109</t>
  </si>
  <si>
    <t>Central Waterfront Site 6, Thomson Avenue</t>
  </si>
  <si>
    <t>H17</t>
  </si>
  <si>
    <t>Central Waterfront, Thomson Avenue</t>
  </si>
  <si>
    <t>009059105906</t>
  </si>
  <si>
    <t>17/00113/FULM, 18/00400/FULL, 20/00399/FULL</t>
  </si>
  <si>
    <t>201110</t>
  </si>
  <si>
    <t>Former Mossgiel Primary School</t>
  </si>
  <si>
    <t>H23</t>
  </si>
  <si>
    <t>Ballochmyle Drive</t>
  </si>
  <si>
    <t>009059105917</t>
  </si>
  <si>
    <t>Pending decision</t>
  </si>
  <si>
    <t>PREAPP/043/2021, 22/00637/FULL</t>
  </si>
  <si>
    <t>Affordable</t>
  </si>
  <si>
    <t>Drainage solution being investigated</t>
  </si>
  <si>
    <t>Abertay HA</t>
  </si>
  <si>
    <t>201221</t>
  </si>
  <si>
    <t>MOM Phase 4, West</t>
  </si>
  <si>
    <t>H20</t>
  </si>
  <si>
    <t>Hebrides Drive, West</t>
  </si>
  <si>
    <t>009059105913</t>
  </si>
  <si>
    <t>PREAPP/078/2022</t>
  </si>
  <si>
    <t>10+Yrs</t>
  </si>
  <si>
    <t>201417</t>
  </si>
  <si>
    <t>Former Lochee Primary School</t>
  </si>
  <si>
    <t>H05</t>
  </si>
  <si>
    <t>Donals Street and South Road</t>
  </si>
  <si>
    <t>009059105869</t>
  </si>
  <si>
    <t>22/00402/FULL</t>
  </si>
  <si>
    <t>201510</t>
  </si>
  <si>
    <t>Lochee District Centre</t>
  </si>
  <si>
    <t>H06</t>
  </si>
  <si>
    <t>Lochee District Centre, Lochee High Street</t>
  </si>
  <si>
    <t>009059105873</t>
  </si>
  <si>
    <t>13/00678/FULL, 15/00079/FULL, 19/00738/FULL, 22/00748/FULL</t>
  </si>
  <si>
    <t>Hillcrest HA</t>
  </si>
  <si>
    <t>15/00844/NDOM6</t>
  </si>
  <si>
    <t>201808</t>
  </si>
  <si>
    <t>Roseangle</t>
  </si>
  <si>
    <t>34-36 Roseangle</t>
  </si>
  <si>
    <t>009059051397</t>
  </si>
  <si>
    <t>17/00761/FULL</t>
  </si>
  <si>
    <t>Formosa Developments Limited</t>
  </si>
  <si>
    <t>201813</t>
  </si>
  <si>
    <t>Former Maxwelltown Multis</t>
  </si>
  <si>
    <t>H16</t>
  </si>
  <si>
    <t>Alexander Street</t>
  </si>
  <si>
    <t>009059105896</t>
  </si>
  <si>
    <t>201814</t>
  </si>
  <si>
    <t>Former Gowriehill Primary School</t>
  </si>
  <si>
    <t>H34</t>
  </si>
  <si>
    <t>Etive Gardens</t>
  </si>
  <si>
    <t>009059105886</t>
  </si>
  <si>
    <t>PREAPP/029/2022, 24/00140/PAN, 24/00366/FULL</t>
  </si>
  <si>
    <t>Angus HA</t>
  </si>
  <si>
    <t>18/00051/NDOM6</t>
  </si>
  <si>
    <t>201815</t>
  </si>
  <si>
    <t>Former Hillside Primary School</t>
  </si>
  <si>
    <t>H35</t>
  </si>
  <si>
    <t>Denoon Terrace</t>
  </si>
  <si>
    <t>009059105887</t>
  </si>
  <si>
    <t>PREAPP/016/2024, 25/00134/FULL</t>
  </si>
  <si>
    <t>18/00050/NDOM6</t>
  </si>
  <si>
    <t>201816</t>
  </si>
  <si>
    <t>Former St Mary's Infant School</t>
  </si>
  <si>
    <t>H36</t>
  </si>
  <si>
    <t>Former St Mary's Infant School, High Street, Lochee</t>
  </si>
  <si>
    <t>009059105889</t>
  </si>
  <si>
    <t>Draingage solution being investigated</t>
  </si>
  <si>
    <t>17/00228/NDOM6</t>
  </si>
  <si>
    <t>201817</t>
  </si>
  <si>
    <t>Former Baldragon Academy</t>
  </si>
  <si>
    <t>H37</t>
  </si>
  <si>
    <t>Burn Street</t>
  </si>
  <si>
    <t>009059105890</t>
  </si>
  <si>
    <t>Marketing of site for housing</t>
  </si>
  <si>
    <t>201825</t>
  </si>
  <si>
    <t>Former Railyards</t>
  </si>
  <si>
    <t>H14</t>
  </si>
  <si>
    <t>Greenmarket</t>
  </si>
  <si>
    <t>009059105888</t>
  </si>
  <si>
    <t>Scottish Enterprise</t>
  </si>
  <si>
    <t>201826C</t>
  </si>
  <si>
    <t>Summerfield Gardens</t>
  </si>
  <si>
    <t>H29</t>
  </si>
  <si>
    <t>Land to West Of Summerfield Avenue at Summerfield Gardens</t>
  </si>
  <si>
    <t>009059105870</t>
  </si>
  <si>
    <t>21/00736/FULL</t>
  </si>
  <si>
    <t>Invertay Homes Ltd</t>
  </si>
  <si>
    <t>201827</t>
  </si>
  <si>
    <t>Kellyfield</t>
  </si>
  <si>
    <t>H33</t>
  </si>
  <si>
    <t>Drumgeith Road</t>
  </si>
  <si>
    <t>009059105878</t>
  </si>
  <si>
    <t>201912</t>
  </si>
  <si>
    <t>Ellengowan Drive</t>
  </si>
  <si>
    <t>South Of Arbroath Road, West Of Dalkeith Road, Ellengowan Rd</t>
  </si>
  <si>
    <t>009059104967</t>
  </si>
  <si>
    <t>18/00487/FULM</t>
  </si>
  <si>
    <t>18/00752/DOM1,
18/00753/DOM1,
24/00123/DOM4</t>
  </si>
  <si>
    <t>202012</t>
  </si>
  <si>
    <t>Former Stewart House</t>
  </si>
  <si>
    <t>Land at Former Stewart House, Kingsway East</t>
  </si>
  <si>
    <t>009059106080</t>
  </si>
  <si>
    <t>19/00687/FULM, 23/00449/FULL</t>
  </si>
  <si>
    <t>17/00183/NDOM7</t>
  </si>
  <si>
    <t>202024</t>
  </si>
  <si>
    <t>Land to North of Pitkerro Road</t>
  </si>
  <si>
    <t>Land to North of Pitkerro Road and East of Longhaugh Road</t>
  </si>
  <si>
    <t>009059094469</t>
  </si>
  <si>
    <t>19/00063/FULL</t>
  </si>
  <si>
    <t>Longhaugh Developments Ltd</t>
  </si>
  <si>
    <t>202030</t>
  </si>
  <si>
    <t>Gellatly Street</t>
  </si>
  <si>
    <t>3 Gellatly Street</t>
  </si>
  <si>
    <t>009059018953</t>
  </si>
  <si>
    <t>19/00502/FULL, 21/00215/FULL</t>
  </si>
  <si>
    <t>McGill (Dock Street) Ltd</t>
  </si>
  <si>
    <t>202061B</t>
  </si>
  <si>
    <t>Dalkeith Road</t>
  </si>
  <si>
    <t>69 Dalkeith Road</t>
  </si>
  <si>
    <t>009059066413</t>
  </si>
  <si>
    <t>20/00142/FULL</t>
  </si>
  <si>
    <t>Ownership</t>
  </si>
  <si>
    <t>Marvend Ltd</t>
  </si>
  <si>
    <t>202065</t>
  </si>
  <si>
    <t>Former Tennis Club</t>
  </si>
  <si>
    <t>57 Dalkeith Road</t>
  </si>
  <si>
    <t>009059035680</t>
  </si>
  <si>
    <t>20/00209/FULL</t>
  </si>
  <si>
    <t>H &amp; H Properties UK Ltd</t>
  </si>
  <si>
    <t>202104</t>
  </si>
  <si>
    <t>Former Rosebank Primary School</t>
  </si>
  <si>
    <t>Land at Rosebank Road</t>
  </si>
  <si>
    <t>009059107104</t>
  </si>
  <si>
    <t>21/00011/FULL</t>
  </si>
  <si>
    <t>Discovery Homes (Dundee) Ltd</t>
  </si>
  <si>
    <t>202108</t>
  </si>
  <si>
    <t>Former Tay Rope Works</t>
  </si>
  <si>
    <t>Land at Former Tay Rope Works, Magdalen Yard Road</t>
  </si>
  <si>
    <t>009059078253</t>
  </si>
  <si>
    <t>19/00297/FULL</t>
  </si>
  <si>
    <t>F &amp; H Property</t>
  </si>
  <si>
    <t>202115</t>
  </si>
  <si>
    <t>Whitehall Crescent</t>
  </si>
  <si>
    <t>3 Whitehall Crescent</t>
  </si>
  <si>
    <t>009059059845</t>
  </si>
  <si>
    <t>21/00636/FULL</t>
  </si>
  <si>
    <t>Joup Property Ltd</t>
  </si>
  <si>
    <t>202201</t>
  </si>
  <si>
    <t>Blackness Road</t>
  </si>
  <si>
    <t>Land to East of 247 Blackness Road</t>
  </si>
  <si>
    <t>009059111353</t>
  </si>
  <si>
    <t>21/00525/FULL, 25/00063/FULL</t>
  </si>
  <si>
    <t>202204</t>
  </si>
  <si>
    <t>Site of James Keiller Buildings</t>
  </si>
  <si>
    <t>32 - 34 Mains Loan</t>
  </si>
  <si>
    <t>009059076133</t>
  </si>
  <si>
    <t>20/00098/FULM, 22/00627/FULL</t>
  </si>
  <si>
    <t>Marketgait Developments</t>
  </si>
  <si>
    <t>Barratt &amp; David Wilson Homes North Scotland</t>
  </si>
  <si>
    <t>07/00233/DEMOL</t>
  </si>
  <si>
    <t>202205</t>
  </si>
  <si>
    <t>Burnside Street</t>
  </si>
  <si>
    <t>55 Burnside Street</t>
  </si>
  <si>
    <t>009059078219</t>
  </si>
  <si>
    <t>21/00857/FULM</t>
  </si>
  <si>
    <t>George Martin Builders</t>
  </si>
  <si>
    <t>202308</t>
  </si>
  <si>
    <t>Mains of Balgay</t>
  </si>
  <si>
    <t>Vacant Workshop and Store, Mains Of Balgay, Elliot Road</t>
  </si>
  <si>
    <t>009059075236</t>
  </si>
  <si>
    <t>22/00563/FULL</t>
  </si>
  <si>
    <t>Private</t>
  </si>
  <si>
    <t>23/00141/DOM1</t>
  </si>
  <si>
    <t>202319</t>
  </si>
  <si>
    <t>Donalds Lane</t>
  </si>
  <si>
    <t>Site Of Former 6 Donalds Lane</t>
  </si>
  <si>
    <t>009059105499</t>
  </si>
  <si>
    <t>22/00376/FULL</t>
  </si>
  <si>
    <t>202322</t>
  </si>
  <si>
    <t>The High Kirk</t>
  </si>
  <si>
    <t>The High Kirk, 119A Kinghorne Road</t>
  </si>
  <si>
    <t>009059086980</t>
  </si>
  <si>
    <t>23/00389/FULL</t>
  </si>
  <si>
    <t>David Gray Construction Ltd</t>
  </si>
  <si>
    <t>Demolition of ancillary hall building</t>
  </si>
  <si>
    <t>202324</t>
  </si>
  <si>
    <t>The Rock</t>
  </si>
  <si>
    <t>Land At Dickson Avenue</t>
  </si>
  <si>
    <t>009059113097</t>
  </si>
  <si>
    <t>23/00510/FULL</t>
  </si>
  <si>
    <t>Rock Developments (Scotland) Ltd</t>
  </si>
  <si>
    <t>202328</t>
  </si>
  <si>
    <t>Dens Road</t>
  </si>
  <si>
    <t>Eagle Mills, 1 Dens Road</t>
  </si>
  <si>
    <t>009059046025</t>
  </si>
  <si>
    <t>22/00077/FULL, 26/00046/S42 pending</t>
  </si>
  <si>
    <t>Eagle Mill  Capital Ltd</t>
  </si>
  <si>
    <t>202401</t>
  </si>
  <si>
    <t>Caird Rest</t>
  </si>
  <si>
    <t>Caird Rest, 172 Nethergate</t>
  </si>
  <si>
    <t>009059088053</t>
  </si>
  <si>
    <t>23/00451/FULL</t>
  </si>
  <si>
    <t>202408</t>
  </si>
  <si>
    <t>East Port House</t>
  </si>
  <si>
    <t>East Port House, 65 - 67 King Street</t>
  </si>
  <si>
    <t>009059082339</t>
  </si>
  <si>
    <t>24/00196/FULL</t>
  </si>
  <si>
    <t>Marketgait Developments Ltd</t>
  </si>
  <si>
    <t>202411</t>
  </si>
  <si>
    <t>Former Hilltown Market</t>
  </si>
  <si>
    <t>Site Of Former Hilltown Market, Main Street</t>
  </si>
  <si>
    <t>009059107737</t>
  </si>
  <si>
    <t>23/00208/FULM, 25/0040/NMV</t>
  </si>
  <si>
    <t>Springfield Partnerships</t>
  </si>
  <si>
    <t>Springfield Partnerships Hillcrest HA</t>
  </si>
  <si>
    <t>18/00677/NDOM7</t>
  </si>
  <si>
    <t>202414</t>
  </si>
  <si>
    <t>Ferry House Residential Home</t>
  </si>
  <si>
    <t>Ferry House Residential Home, 8 Gray Street, Broughty Ferry</t>
  </si>
  <si>
    <t>009059049402</t>
  </si>
  <si>
    <t>24/00453/FULL</t>
  </si>
  <si>
    <t>202419</t>
  </si>
  <si>
    <t>Sangobeg House</t>
  </si>
  <si>
    <t>Sangobeg House, 4 Francis Street</t>
  </si>
  <si>
    <t>009059017575</t>
  </si>
  <si>
    <t>24/00530/FULL</t>
  </si>
  <si>
    <t>Sangobeg Developments Ltd</t>
  </si>
  <si>
    <t>202424</t>
  </si>
  <si>
    <t>Angus Street, Lochee</t>
  </si>
  <si>
    <t>Former Community Centre, Angus Street, Lochee</t>
  </si>
  <si>
    <t>009059113219</t>
  </si>
  <si>
    <t>24/00703/FULL</t>
  </si>
  <si>
    <t>Abertay Housing Association</t>
  </si>
  <si>
    <t>202426</t>
  </si>
  <si>
    <t>Commercial Street</t>
  </si>
  <si>
    <t>9 - 17 Commercial Street</t>
  </si>
  <si>
    <t>009059069855</t>
  </si>
  <si>
    <t>24/00752/FULL</t>
  </si>
  <si>
    <t>Sovereign Properties Stafford Ltd</t>
  </si>
  <si>
    <t>202503</t>
  </si>
  <si>
    <t>Trades Lane</t>
  </si>
  <si>
    <t>28 Trades Lane</t>
  </si>
  <si>
    <t>009059076129</t>
  </si>
  <si>
    <t>18/00988/FULL, 23/00172/FULL</t>
  </si>
  <si>
    <t>24/00496/NDOM7</t>
  </si>
  <si>
    <t>202513</t>
  </si>
  <si>
    <t>Perth Road</t>
  </si>
  <si>
    <t>Fernbrae Hospital, 329 Perth Road</t>
  </si>
  <si>
    <t>009059085246</t>
  </si>
  <si>
    <t>25/00437/FULL</t>
  </si>
  <si>
    <t>202601</t>
  </si>
  <si>
    <t>Montpelier Smithy House, Drumgeith Road</t>
  </si>
  <si>
    <t>009059031313</t>
  </si>
  <si>
    <t>25/00494/PPPL</t>
  </si>
  <si>
    <t>Totals</t>
  </si>
  <si>
    <t>Small sites</t>
  </si>
  <si>
    <t>201607L</t>
  </si>
  <si>
    <t>Collingwood Crescent</t>
  </si>
  <si>
    <t>Land to West of 20 Collingwood Crescent, Broughty Ferry</t>
  </si>
  <si>
    <t>009059103958</t>
  </si>
  <si>
    <t>15/00138/FULL, 19/00031/FULL</t>
  </si>
  <si>
    <t>Small</t>
  </si>
  <si>
    <t>Single plot</t>
  </si>
  <si>
    <t>201705</t>
  </si>
  <si>
    <t>68 Dalkeith Road</t>
  </si>
  <si>
    <t>009059019101</t>
  </si>
  <si>
    <t>16/00310/FULL</t>
  </si>
  <si>
    <t>201705H</t>
  </si>
  <si>
    <t>Monifieth Road</t>
  </si>
  <si>
    <t>Garden Ground to South of 96 Monifieth Road</t>
  </si>
  <si>
    <t>009059104956</t>
  </si>
  <si>
    <t>16/00505/FULL</t>
  </si>
  <si>
    <t>201705K</t>
  </si>
  <si>
    <t>Holly Hill</t>
  </si>
  <si>
    <t>Holly Hill, 69 Dundee Road, Broughty Ferry</t>
  </si>
  <si>
    <t>009059084670</t>
  </si>
  <si>
    <t>16/00832/FULL, 19/00845/FULL, 22/00651/FULL, 25/00467/FULL</t>
  </si>
  <si>
    <t>201805B</t>
  </si>
  <si>
    <t>92A Monifieth Road, Broughty Ferry</t>
  </si>
  <si>
    <t>009059036721</t>
  </si>
  <si>
    <t>16/00745/FULL</t>
  </si>
  <si>
    <t>201805J</t>
  </si>
  <si>
    <t>Princes Street</t>
  </si>
  <si>
    <t>161 Princes Street</t>
  </si>
  <si>
    <t>009059095865</t>
  </si>
  <si>
    <t>17/00769/FULL</t>
  </si>
  <si>
    <t>202004P</t>
  </si>
  <si>
    <t>Rockfield Crescent</t>
  </si>
  <si>
    <t>Garden Ground to North of 7 Rockfield Crescent</t>
  </si>
  <si>
    <t>009059107739</t>
  </si>
  <si>
    <t>19/00914/PPPL, 23/00511/PPPL</t>
  </si>
  <si>
    <t>202019D</t>
  </si>
  <si>
    <t>Stonelee Guest House</t>
  </si>
  <si>
    <t>Stonelee Guest House, 69 Monifieth Road, Broughty Ferry</t>
  </si>
  <si>
    <t>009059006118</t>
  </si>
  <si>
    <t>20/00148/FULL</t>
  </si>
  <si>
    <t>202031</t>
  </si>
  <si>
    <t>Pitkerro Mill, Kellas Road</t>
  </si>
  <si>
    <t>009059086633</t>
  </si>
  <si>
    <t>19/00861/FULL, 23/00238/FULL, 23/00319/FULL</t>
  </si>
  <si>
    <t>Harbyn Properties</t>
  </si>
  <si>
    <t>202032A</t>
  </si>
  <si>
    <t>Symers Street</t>
  </si>
  <si>
    <t>Land to the East of 6, Symers Street</t>
  </si>
  <si>
    <t>009059107098</t>
  </si>
  <si>
    <t>20/00232/FULL, 23/00474/FULL</t>
  </si>
  <si>
    <t>202035A</t>
  </si>
  <si>
    <t>Bowling Green</t>
  </si>
  <si>
    <t>Land to West of Bowling Green, Adelaide Place</t>
  </si>
  <si>
    <t>009059108128</t>
  </si>
  <si>
    <t xml:space="preserve">20/00310/PPPL, 23/00314/FULL </t>
  </si>
  <si>
    <t>202035C</t>
  </si>
  <si>
    <t>Albany Road</t>
  </si>
  <si>
    <t>Garden Ground to South of 50 Albany Road, Broughty Ferry</t>
  </si>
  <si>
    <t>009059108124</t>
  </si>
  <si>
    <t>20/00289/PPPL, 23/00839/PPPL</t>
  </si>
  <si>
    <t>202035D</t>
  </si>
  <si>
    <t>Springhill</t>
  </si>
  <si>
    <t>13 Springhill</t>
  </si>
  <si>
    <t>009059076547</t>
  </si>
  <si>
    <t>20/00459/FULL</t>
  </si>
  <si>
    <t>202035F</t>
  </si>
  <si>
    <t>Dudhope Terrace</t>
  </si>
  <si>
    <t>9 Dudhope Terrace</t>
  </si>
  <si>
    <t>009059065182</t>
  </si>
  <si>
    <t>20/00548/FULL</t>
  </si>
  <si>
    <t>202035G</t>
  </si>
  <si>
    <t>Victoria Chambers</t>
  </si>
  <si>
    <t>G/1 Office, Victoria Chambers, 10 Victoria Road</t>
  </si>
  <si>
    <t>009059075915</t>
  </si>
  <si>
    <t>20/00133/FULL</t>
  </si>
  <si>
    <t>Tayside Property Management</t>
  </si>
  <si>
    <t>202035H</t>
  </si>
  <si>
    <t>Murraygate</t>
  </si>
  <si>
    <t>1/0, 39 Murraygate</t>
  </si>
  <si>
    <t>009059087550</t>
  </si>
  <si>
    <t>20/00509/FULL</t>
  </si>
  <si>
    <t>Casa Fresa Holdings LLP</t>
  </si>
  <si>
    <t>202043</t>
  </si>
  <si>
    <t>Brown Street</t>
  </si>
  <si>
    <t>Land to South of 75/77 Brown Street, Broughty Ferry</t>
  </si>
  <si>
    <t>009059108220</t>
  </si>
  <si>
    <t>20/00529/PPPL, 22/00547/FULL</t>
  </si>
  <si>
    <t>202105C</t>
  </si>
  <si>
    <t>Frederick Street</t>
  </si>
  <si>
    <t>Garden Ground at 45 Frederick Street</t>
  </si>
  <si>
    <t>009059110659</t>
  </si>
  <si>
    <t>20/00721/FULL, 22/00756/FULL</t>
  </si>
  <si>
    <t>202105I</t>
  </si>
  <si>
    <t>Strathern Road</t>
  </si>
  <si>
    <t>140 Strathern Road, Broughty Ferry</t>
  </si>
  <si>
    <t>009059070792</t>
  </si>
  <si>
    <t>20/00798/FULL</t>
  </si>
  <si>
    <t>202116</t>
  </si>
  <si>
    <t>Lammerton Terrace</t>
  </si>
  <si>
    <t>Garden Ground To North Of 3A Lammerton Terrace</t>
  </si>
  <si>
    <t>009059110892</t>
  </si>
  <si>
    <t>21/00077/FULL</t>
  </si>
  <si>
    <t>202208</t>
  </si>
  <si>
    <t>Forthill Road</t>
  </si>
  <si>
    <t>10 Forthill Road, Broughty Ferry</t>
  </si>
  <si>
    <t>009059013261</t>
  </si>
  <si>
    <t>21/00688/PPPL</t>
  </si>
  <si>
    <t>202302</t>
  </si>
  <si>
    <t>Ellislea Road</t>
  </si>
  <si>
    <t>Garden Ground at 9 Ellislea Road, Broughty Ferry</t>
  </si>
  <si>
    <t>009059111889</t>
  </si>
  <si>
    <t>22/00373/FULL</t>
  </si>
  <si>
    <t>202304</t>
  </si>
  <si>
    <t>Camphill Road</t>
  </si>
  <si>
    <t>Land South of 65 Camphill Road, Broughty Ferry</t>
  </si>
  <si>
    <t>009059112325</t>
  </si>
  <si>
    <t>22/00545/FULL, 25/00602/S42 (time extension)</t>
  </si>
  <si>
    <t>202306</t>
  </si>
  <si>
    <t>Lauderdale Avenue</t>
  </si>
  <si>
    <t>Garden Ground to South of 88 Lauderdale Avenue</t>
  </si>
  <si>
    <t>009059112552</t>
  </si>
  <si>
    <t>22/00535/PPPL</t>
  </si>
  <si>
    <t>202314</t>
  </si>
  <si>
    <t>Daniel Terrace</t>
  </si>
  <si>
    <t>2 Daniel Terrace</t>
  </si>
  <si>
    <t>009059082171</t>
  </si>
  <si>
    <t>23/00112/FULL</t>
  </si>
  <si>
    <t>202315</t>
  </si>
  <si>
    <t>Broughty Ferry Road</t>
  </si>
  <si>
    <t>208 Broughty Ferry Road</t>
  </si>
  <si>
    <t>009059017913</t>
  </si>
  <si>
    <t>23/00128/FULL</t>
  </si>
  <si>
    <t>202316</t>
  </si>
  <si>
    <t>32 Strathern Road, Broughty Ferry</t>
  </si>
  <si>
    <t>009059112851</t>
  </si>
  <si>
    <t>23/00199/FULL</t>
  </si>
  <si>
    <t>202317</t>
  </si>
  <si>
    <t>Cleghorn Street</t>
  </si>
  <si>
    <t>25A Cleghorn Street</t>
  </si>
  <si>
    <t>009059010503</t>
  </si>
  <si>
    <t>23/00279/FULL</t>
  </si>
  <si>
    <t>202318</t>
  </si>
  <si>
    <t>India Buildings</t>
  </si>
  <si>
    <t>Upper Ground Floor, India Buildings, 86 Bell Street</t>
  </si>
  <si>
    <t>009059000446</t>
  </si>
  <si>
    <t>23/00345/FULL</t>
  </si>
  <si>
    <t>Pavillion Properties</t>
  </si>
  <si>
    <t>202321</t>
  </si>
  <si>
    <t>Kingsway</t>
  </si>
  <si>
    <t>Garden Ground, 74 Kingsway</t>
  </si>
  <si>
    <t>009059042327</t>
  </si>
  <si>
    <t>23/00110/PPPL, 24/00342/APCONL</t>
  </si>
  <si>
    <t>202323</t>
  </si>
  <si>
    <t>Nethergate</t>
  </si>
  <si>
    <t>32 Nethergate</t>
  </si>
  <si>
    <t>009059030567</t>
  </si>
  <si>
    <t>23/00587/FULL</t>
  </si>
  <si>
    <t>202326</t>
  </si>
  <si>
    <t>Unit 2, India Buildings, 86 Bell Street</t>
  </si>
  <si>
    <t>009059001075</t>
  </si>
  <si>
    <t>23/00694/FULL</t>
  </si>
  <si>
    <t>202402</t>
  </si>
  <si>
    <t>Bell Street</t>
  </si>
  <si>
    <t>46·&amp; 50 Bell Street</t>
  </si>
  <si>
    <t>009059077214</t>
  </si>
  <si>
    <t>23/00701/FULL</t>
  </si>
  <si>
    <t>202403</t>
  </si>
  <si>
    <t>Stephens Yard</t>
  </si>
  <si>
    <t>Land South Of Stephens Yard, Shepherds Loan</t>
  </si>
  <si>
    <t>009059079444</t>
  </si>
  <si>
    <t>23/00170/FULL</t>
  </si>
  <si>
    <t>202404</t>
  </si>
  <si>
    <t>Garden Ground East Of 381 Perth Road</t>
  </si>
  <si>
    <t>009059113110</t>
  </si>
  <si>
    <t>23/00668/FULL</t>
  </si>
  <si>
    <t>202405</t>
  </si>
  <si>
    <t>Unit 1, India Buildings, 86 Bell Street</t>
  </si>
  <si>
    <t>009059001074</t>
  </si>
  <si>
    <t>23/00855/FULL</t>
  </si>
  <si>
    <t>202406</t>
  </si>
  <si>
    <t>Gotterstone Drive</t>
  </si>
  <si>
    <t>Land East Of 61 Gotterstone Drive</t>
  </si>
  <si>
    <t>009059068873</t>
  </si>
  <si>
    <t>23/00079/FULL</t>
  </si>
  <si>
    <t>202407</t>
  </si>
  <si>
    <t>Woodcroft</t>
  </si>
  <si>
    <t>Land To West Of Woodcroft, Dundee  Road, Broughty Ferry</t>
  </si>
  <si>
    <t>009059096087</t>
  </si>
  <si>
    <t>23/00404/FULL</t>
  </si>
  <si>
    <t>202409</t>
  </si>
  <si>
    <t>Liff Road</t>
  </si>
  <si>
    <t>52 Liff Road</t>
  </si>
  <si>
    <t>009059036633</t>
  </si>
  <si>
    <t>24/00239/FULL</t>
  </si>
  <si>
    <t>202410</t>
  </si>
  <si>
    <t>Hillbank Road</t>
  </si>
  <si>
    <t>1 Hillbank Road</t>
  </si>
  <si>
    <t>009059010058</t>
  </si>
  <si>
    <t>24/00103/FULL</t>
  </si>
  <si>
    <t>Hillcrest Homes (Scotland) Ltd</t>
  </si>
  <si>
    <t>202413</t>
  </si>
  <si>
    <t>King Street</t>
  </si>
  <si>
    <t>421 King Street, Broughty Ferry</t>
  </si>
  <si>
    <t>009059047674</t>
  </si>
  <si>
    <t>24/00427/FULL</t>
  </si>
  <si>
    <t>24/00428/CON, 24/00511/DOM4</t>
  </si>
  <si>
    <t>202422</t>
  </si>
  <si>
    <t>Belsize House</t>
  </si>
  <si>
    <t>Belsize House, Belsize Road</t>
  </si>
  <si>
    <t>009059010481</t>
  </si>
  <si>
    <t>24/00560/FULL</t>
  </si>
  <si>
    <t>202429</t>
  </si>
  <si>
    <t>Myrekirk Road</t>
  </si>
  <si>
    <t>Garden Ground North Of 5 Myrekirk Road</t>
  </si>
  <si>
    <t>009059113900</t>
  </si>
  <si>
    <t>24/00777/FULL</t>
  </si>
  <si>
    <t>202430</t>
  </si>
  <si>
    <t>Scrimgeours Building</t>
  </si>
  <si>
    <t>4/1 Scrimgeours Building, 4 Whitehall Street</t>
  </si>
  <si>
    <t>009059075161</t>
  </si>
  <si>
    <t>24/00804/FULL</t>
  </si>
  <si>
    <t>202501</t>
  </si>
  <si>
    <t>Arbroath Road</t>
  </si>
  <si>
    <t>105 Arbroath Road</t>
  </si>
  <si>
    <t>009059070070</t>
  </si>
  <si>
    <t>22/00696/FULL, 24/00788/FULL</t>
  </si>
  <si>
    <t>Alex Sikorsky AK Property Ltd</t>
  </si>
  <si>
    <t>202502</t>
  </si>
  <si>
    <t>Clovis Duveau Drive</t>
  </si>
  <si>
    <t>Land To East Of 15 Clovis Duveau Drive</t>
  </si>
  <si>
    <t>009059103617</t>
  </si>
  <si>
    <t>21/00423/FULL, 24/00053/FULL, 24/00802/FULL</t>
  </si>
  <si>
    <t>202505</t>
  </si>
  <si>
    <t>Gray Street</t>
  </si>
  <si>
    <t>Harbour Cottage, 1A Gray Street, Broughty Ferry</t>
  </si>
  <si>
    <t>009059069450</t>
  </si>
  <si>
    <t>25/00129/FULL</t>
  </si>
  <si>
    <t>202506</t>
  </si>
  <si>
    <t>Broughty Ferry Court</t>
  </si>
  <si>
    <t>Land At Broughty Ferry Court, Baldovie Road</t>
  </si>
  <si>
    <t>009059089111</t>
  </si>
  <si>
    <t>25/00205/PPPL</t>
  </si>
  <si>
    <t>202507</t>
  </si>
  <si>
    <t>1/2, 45 Commercial Street</t>
  </si>
  <si>
    <t>009059067568</t>
  </si>
  <si>
    <t>25/00240/FULL</t>
  </si>
  <si>
    <t>202508</t>
  </si>
  <si>
    <t>25/00384/FULL</t>
  </si>
  <si>
    <t>202509</t>
  </si>
  <si>
    <t>Land at 381 Perth Road</t>
  </si>
  <si>
    <t>009059114482</t>
  </si>
  <si>
    <t>25/00360/FULL</t>
  </si>
  <si>
    <t>202510</t>
  </si>
  <si>
    <t>Balgowan Drive</t>
  </si>
  <si>
    <t>Land At 7 Balgowan Drive</t>
  </si>
  <si>
    <t>009059113623</t>
  </si>
  <si>
    <t>25/00203/FULL</t>
  </si>
  <si>
    <t>19/00536/DOM4</t>
  </si>
  <si>
    <t>202511</t>
  </si>
  <si>
    <t>Belsize Road</t>
  </si>
  <si>
    <t>25/00425/FULL</t>
  </si>
  <si>
    <t>202512</t>
  </si>
  <si>
    <t>Avon Place</t>
  </si>
  <si>
    <t>12 Avon Place, Broughty Ferry</t>
  </si>
  <si>
    <t>009059061404</t>
  </si>
  <si>
    <t>25/00501/FULL</t>
  </si>
  <si>
    <t>202514</t>
  </si>
  <si>
    <t>Whitfield Drive</t>
  </si>
  <si>
    <t>Sun City Demonstration House, Whitfield Drive</t>
  </si>
  <si>
    <t>009059046042</t>
  </si>
  <si>
    <t>25/00513/FULL</t>
  </si>
  <si>
    <t>202515</t>
  </si>
  <si>
    <t>Douglas Terrace</t>
  </si>
  <si>
    <t>20 Douglas Terrace, Broughty Ferry</t>
  </si>
  <si>
    <t>009059084664</t>
  </si>
  <si>
    <t>25/00618/FULL</t>
  </si>
  <si>
    <t>202602</t>
  </si>
  <si>
    <t>Tay Street Lane</t>
  </si>
  <si>
    <t>17 - 19  Tay Street Lane</t>
  </si>
  <si>
    <t>009059093703</t>
  </si>
  <si>
    <t>25/00621/FULL</t>
  </si>
  <si>
    <t>202603</t>
  </si>
  <si>
    <t>22 Albany Road, Broughty Ferry</t>
  </si>
  <si>
    <t>009059000526</t>
  </si>
  <si>
    <t>25/00675/APCONL</t>
  </si>
  <si>
    <t>Constrained</t>
  </si>
  <si>
    <t>Programmed Y1</t>
  </si>
  <si>
    <t>Programmed Y2</t>
  </si>
  <si>
    <t>Programmed Y3</t>
  </si>
  <si>
    <t>Programmed Y4</t>
  </si>
  <si>
    <t>Programmed Y5</t>
  </si>
  <si>
    <t>Programmed Y6</t>
  </si>
  <si>
    <t>Programmed Y7</t>
  </si>
  <si>
    <t>Programmed Y8</t>
  </si>
  <si>
    <t>Programmed Y9</t>
  </si>
  <si>
    <t>Programmed Y10</t>
  </si>
  <si>
    <t>200321</t>
  </si>
  <si>
    <t>Queen Victoria Works</t>
  </si>
  <si>
    <t>H13</t>
  </si>
  <si>
    <t>Brook Street, Dundee</t>
  </si>
  <si>
    <t>009059105885</t>
  </si>
  <si>
    <t>200353</t>
  </si>
  <si>
    <t>H26</t>
  </si>
  <si>
    <t>009059105862</t>
  </si>
  <si>
    <t>200728</t>
  </si>
  <si>
    <t>H18</t>
  </si>
  <si>
    <t>009059105909</t>
  </si>
  <si>
    <t>PREAPP/001/2019</t>
  </si>
  <si>
    <t>200807</t>
  </si>
  <si>
    <t>Quarry Gardens</t>
  </si>
  <si>
    <t>H04</t>
  </si>
  <si>
    <t>Land at Quarry Gardens</t>
  </si>
  <si>
    <t>009059105867</t>
  </si>
  <si>
    <t>201102</t>
  </si>
  <si>
    <t>Dura Street</t>
  </si>
  <si>
    <t>3 Dura Street</t>
  </si>
  <si>
    <t>009059018817</t>
  </si>
  <si>
    <t>10/00676/FULL, 13/00824/FULL, 17/00014/FULL, 20/00018/FULL, 23/00153/FULL</t>
  </si>
  <si>
    <t>B &amp; L Whittet Ltd</t>
  </si>
  <si>
    <t>existing car sales &amp; MOT garage</t>
  </si>
  <si>
    <t>201205</t>
  </si>
  <si>
    <t>Earn Crescent</t>
  </si>
  <si>
    <t>H02</t>
  </si>
  <si>
    <t>Land at Earn Crescent</t>
  </si>
  <si>
    <t>009059105859</t>
  </si>
  <si>
    <t>201220</t>
  </si>
  <si>
    <t>MOM Phase 4</t>
  </si>
  <si>
    <t>H19</t>
  </si>
  <si>
    <t>Land at Barns Of Claverhouse Road</t>
  </si>
  <si>
    <t>009059105911</t>
  </si>
  <si>
    <t>201413</t>
  </si>
  <si>
    <t>Clatto Reservoir</t>
  </si>
  <si>
    <t>H03</t>
  </si>
  <si>
    <t>Land To South Of Clatto Reservoir, Dalmahoy Drive</t>
  </si>
  <si>
    <t>009059105861</t>
  </si>
  <si>
    <t>Scottish Water</t>
  </si>
  <si>
    <t>201424</t>
  </si>
  <si>
    <t>Strathyre Avenue</t>
  </si>
  <si>
    <t>H47</t>
  </si>
  <si>
    <t>Land To East Of Strathyre Avenue, Broughty Ferry</t>
  </si>
  <si>
    <t>009059105908</t>
  </si>
  <si>
    <t>201509</t>
  </si>
  <si>
    <t>Linlathen House</t>
  </si>
  <si>
    <t>Land To East Of Nursing Home, Linlathen Road</t>
  </si>
  <si>
    <t>009059101255</t>
  </si>
  <si>
    <t>10/00298/FULM</t>
  </si>
  <si>
    <t>Removed - Complete</t>
  </si>
  <si>
    <t>201106</t>
  </si>
  <si>
    <t>Site of 3 Trades Lane</t>
  </si>
  <si>
    <t>009059024533</t>
  </si>
  <si>
    <t>16/01058/FULL</t>
  </si>
  <si>
    <t>Removed</t>
  </si>
  <si>
    <t>Seagate (Dundee) Limited</t>
  </si>
  <si>
    <t>13/00786/CON
14/00195/NDOM8</t>
  </si>
  <si>
    <t>201213</t>
  </si>
  <si>
    <t>MOM Phase 4, South East</t>
  </si>
  <si>
    <t>H22</t>
  </si>
  <si>
    <t>Hebrides Drive, South East</t>
  </si>
  <si>
    <t>009059105916</t>
  </si>
  <si>
    <t>18/00974/FULL, 23/00059/FULL</t>
  </si>
  <si>
    <t>Home Scotland</t>
  </si>
  <si>
    <t>McTaggart Construction</t>
  </si>
  <si>
    <t>16/00589/DOM4</t>
  </si>
  <si>
    <t>201214</t>
  </si>
  <si>
    <t>MOM Phase 4, North East</t>
  </si>
  <si>
    <t>H21</t>
  </si>
  <si>
    <t>Hebrides Drive, North East</t>
  </si>
  <si>
    <t>009059105915</t>
  </si>
  <si>
    <t>201410A</t>
  </si>
  <si>
    <t>West Grove</t>
  </si>
  <si>
    <t>10 West Grove Avenue</t>
  </si>
  <si>
    <t>009059104789</t>
  </si>
  <si>
    <t>08/00592/FUL, 16/00314/FULL, 19/00376/FULL, 21/00671/FULL</t>
  </si>
  <si>
    <t>201805G</t>
  </si>
  <si>
    <t>Gibson Terrace</t>
  </si>
  <si>
    <t>Land to the East of 3 Gibson Terrace</t>
  </si>
  <si>
    <t>009059085852</t>
  </si>
  <si>
    <t>17/00594/FULL, 20/00295/FULL</t>
  </si>
  <si>
    <t>201906</t>
  </si>
  <si>
    <t>Langlands Street</t>
  </si>
  <si>
    <t>Workshop and Yard on South Side, Langlands Street</t>
  </si>
  <si>
    <t>009059087012</t>
  </si>
  <si>
    <t>18/00500/FULL</t>
  </si>
  <si>
    <t>George Martin Builders Ltd</t>
  </si>
  <si>
    <t>201908</t>
  </si>
  <si>
    <t>Thorter Loan</t>
  </si>
  <si>
    <t>Land to West of Thorter Loan and South of South Victoria Dock Road</t>
  </si>
  <si>
    <t>009059101981</t>
  </si>
  <si>
    <t>18/00387/FULM</t>
  </si>
  <si>
    <t>Culross Ltd</t>
  </si>
  <si>
    <t>201910</t>
  </si>
  <si>
    <t>The Old Mill</t>
  </si>
  <si>
    <t>1 Guthrie Street</t>
  </si>
  <si>
    <t>009059021452</t>
  </si>
  <si>
    <t>17/00134/FULL</t>
  </si>
  <si>
    <t>Ramsay Properties Ltd</t>
  </si>
  <si>
    <t>202013</t>
  </si>
  <si>
    <t>Buttars Loan</t>
  </si>
  <si>
    <t>Land to the East of Buttars Loan and South of Broomlee Road</t>
  </si>
  <si>
    <t>009059106452</t>
  </si>
  <si>
    <t>19/00246/FULL</t>
  </si>
  <si>
    <t>Green Pads Limited</t>
  </si>
  <si>
    <t>Hutchinson Building Services Limited</t>
  </si>
  <si>
    <t>202051</t>
  </si>
  <si>
    <t>Pitkerro Road</t>
  </si>
  <si>
    <t>Land at 114 - 116 Pitkerro Road</t>
  </si>
  <si>
    <t>009059107075</t>
  </si>
  <si>
    <t>20/00052/FULL, 20/00777/FULL</t>
  </si>
  <si>
    <t>202106</t>
  </si>
  <si>
    <t>Former Park Hotel</t>
  </si>
  <si>
    <t>Park House Hotel, 40 Coupar Angus Road</t>
  </si>
  <si>
    <t>009059108014</t>
  </si>
  <si>
    <t>20/00591/FULL</t>
  </si>
  <si>
    <t>Redwood Birkhill Ltd</t>
  </si>
  <si>
    <t>18/00748/NDOM5</t>
  </si>
  <si>
    <t>202202</t>
  </si>
  <si>
    <t>Former Factory</t>
  </si>
  <si>
    <t>Site Of Former Factory, Ballindean Road</t>
  </si>
  <si>
    <t>009059108191</t>
  </si>
  <si>
    <t>21/00602/FULM</t>
  </si>
  <si>
    <t>Caledonia HA</t>
  </si>
  <si>
    <t>202311</t>
  </si>
  <si>
    <t>Lochee Road</t>
  </si>
  <si>
    <t>142A Lochee Road</t>
  </si>
  <si>
    <t>009059074927</t>
  </si>
  <si>
    <t>22/00485/FULL</t>
  </si>
  <si>
    <t>202417</t>
  </si>
  <si>
    <t>36 - 38 Cleghorn Street</t>
  </si>
  <si>
    <t>009059021002</t>
  </si>
  <si>
    <t>24/00506/FULL</t>
  </si>
  <si>
    <t>202504</t>
  </si>
  <si>
    <t>40G Baldovan Terrace</t>
  </si>
  <si>
    <t>009059083257</t>
  </si>
  <si>
    <t>25/00062/FULL</t>
  </si>
  <si>
    <t>202516</t>
  </si>
  <si>
    <t>.</t>
  </si>
  <si>
    <t>17 - 19 King Street</t>
  </si>
  <si>
    <t>009059061970</t>
  </si>
  <si>
    <t>21/00225/FULL</t>
  </si>
  <si>
    <t>202517</t>
  </si>
  <si>
    <t>Brook Street</t>
  </si>
  <si>
    <t>217 Brook Street, Broughty Ferry</t>
  </si>
  <si>
    <t>009059042381</t>
  </si>
  <si>
    <t>23/00537/FULL</t>
  </si>
  <si>
    <t>Removed - Expired</t>
  </si>
  <si>
    <t>201705B</t>
  </si>
  <si>
    <t>2/2, 197 Brook Street, Broughty Ferry</t>
  </si>
  <si>
    <t>009059077803</t>
  </si>
  <si>
    <t>10/00066/FULL, 13/00139FULL, 16/00488/FULL, 19/00185/FULL,  22/00283/FULL</t>
  </si>
  <si>
    <t>202053</t>
  </si>
  <si>
    <t>Murrayfield Place</t>
  </si>
  <si>
    <t>Land at Murrayfield Place, Murrayfield Drive, Whitfield Avenue and_x000D_
Murrayfield Terrace</t>
  </si>
  <si>
    <t>009059106824</t>
  </si>
  <si>
    <t>20/00064/FULL, 22/00239/FULL</t>
  </si>
  <si>
    <t>Drainage</t>
  </si>
  <si>
    <t>202303</t>
  </si>
  <si>
    <t>Guthrie Street</t>
  </si>
  <si>
    <t>Premises, 9 Guthrie Street</t>
  </si>
  <si>
    <t>009059089090</t>
  </si>
  <si>
    <t>21/00296/FULL</t>
  </si>
  <si>
    <t>202305</t>
  </si>
  <si>
    <t>Balgillo Road</t>
  </si>
  <si>
    <t>Land to South of 157 Balgillo Road, Broughty Ferry</t>
  </si>
  <si>
    <t>009059105089</t>
  </si>
  <si>
    <t>22/00503/FULL</t>
  </si>
  <si>
    <t>202309</t>
  </si>
  <si>
    <t>Mosque</t>
  </si>
  <si>
    <t>Mosque, 114 Hilltown</t>
  </si>
  <si>
    <t>009059086323</t>
  </si>
  <si>
    <t>22/00699/FULL</t>
  </si>
  <si>
    <t>202310</t>
  </si>
  <si>
    <t>Candle Lane</t>
  </si>
  <si>
    <t>Car Park, 3 - 7 Candle Lane</t>
  </si>
  <si>
    <t>009059090587</t>
  </si>
  <si>
    <t>20/00739/FULL</t>
  </si>
  <si>
    <t>Murrayfield Properties Ltd</t>
  </si>
  <si>
    <t>202313</t>
  </si>
  <si>
    <t>Mains of Gray Farm</t>
  </si>
  <si>
    <t>Land to the South of Mains Of Gray Farm and West of Dykes Of Gray Road</t>
  </si>
  <si>
    <t>009059082773</t>
  </si>
  <si>
    <t>22/00818/FULL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</si>
</sst>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499984740745262"/>
        <bgColor rgb="FFE6E6E6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1">
      <alignment horizontal="left"/>
    </xf>
  </cellStyleXfs>
  <cellXfs count="59">
    <xf numFmtId="0" fontId="0" fillId="0" borderId="0" xfId="0"/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4" borderId="1" xfId="1" applyFont="1" applyFill="1" applyAlignment="1">
      <alignment horizontal="center" vertical="center" wrapText="1"/>
    </xf>
    <xf numFmtId="0" fontId="3" fillId="4" borderId="1" xfId="1" applyFont="1" applyFill="1" applyAlignment="1">
      <alignment horizontal="left" vertical="center" wrapText="1"/>
    </xf>
    <xf numFmtId="2" fontId="3" fillId="4" borderId="1" xfId="1" applyNumberFormat="1" applyFont="1" applyFill="1" applyAlignment="1">
      <alignment horizontal="center" vertical="center" wrapText="1"/>
    </xf>
    <xf numFmtId="164" fontId="3" fillId="4" borderId="1" xfId="1" applyNumberFormat="1" applyFont="1" applyFill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3" fillId="4" borderId="0" xfId="1" applyFont="1" applyFill="1" applyBorder="1" applyAlignment="1">
      <alignment horizontal="center" vertical="center" wrapText="1"/>
    </xf>
    <xf numFmtId="0" fontId="3" fillId="4" borderId="0" xfId="1" applyFont="1" applyFill="1" applyBorder="1" applyAlignment="1">
      <alignment horizontal="left" vertical="center" wrapText="1"/>
    </xf>
    <xf numFmtId="2" fontId="3" fillId="4" borderId="0" xfId="1" applyNumberFormat="1" applyFont="1" applyFill="1" applyBorder="1" applyAlignment="1">
      <alignment horizontal="center" vertical="center" wrapText="1"/>
    </xf>
    <xf numFmtId="164" fontId="3" fillId="4" borderId="0" xfId="1" applyNumberFormat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0" xfId="0" applyFont="1"/>
    <xf numFmtId="0" fontId="0" fillId="0" borderId="12" xfId="0" applyBorder="1" applyAlignment="1">
      <alignment vertical="center" wrapText="1"/>
    </xf>
    <xf numFmtId="164" fontId="0" fillId="0" borderId="11" xfId="0" applyNumberForma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1" xfId="0" applyFill="1" applyBorder="1" applyAlignment="1">
      <alignment vertical="center" wrapText="1"/>
    </xf>
    <xf numFmtId="1" fontId="0" fillId="0" borderId="11" xfId="0" applyNumberFormat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11" xfId="0" applyFont="1" applyFill="1" applyBorder="1" applyAlignment="1">
      <alignment vertical="center" wrapText="1"/>
    </xf>
    <xf numFmtId="0" fontId="7" fillId="5" borderId="11" xfId="0" applyFont="1" applyFill="1" applyBorder="1" applyAlignment="1">
      <alignment horizontal="center" vertical="center" wrapText="1"/>
    </xf>
    <xf numFmtId="2" fontId="7" fillId="5" borderId="11" xfId="0" applyNumberFormat="1" applyFont="1" applyFill="1" applyBorder="1" applyAlignment="1">
      <alignment horizontal="center" vertical="center" wrapText="1"/>
    </xf>
    <xf numFmtId="164" fontId="7" fillId="5" borderId="11" xfId="0" applyNumberFormat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5" borderId="8" xfId="1" applyFont="1" applyFill="1" applyBorder="1" applyAlignment="1">
      <alignment horizontal="center" vertical="center" wrapText="1"/>
    </xf>
    <xf numFmtId="0" fontId="3" fillId="5" borderId="9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</cellXfs>
  <cellStyles count="2">
    <cellStyle name="Normal" xfId="0" builtinId="0"/>
    <cellStyle name="STYLE0" xfId="1" xr:uid="{00000000-0005-0000-0000-000001000000}"/>
  </cellStyles>
  <dxfs count="4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dd/mm/yyyy;@"/>
      <alignment horizontal="center" vertical="center" textRotation="0" wrapText="1" indent="0" justifyLastLine="0" shrinkToFit="0" readingOrder="0"/>
    </dxf>
    <dxf>
      <numFmt numFmtId="164" formatCode="dd/mm/yyyy;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dd/mm/yyyy;@"/>
      <alignment horizontal="center" vertical="center" textRotation="0" wrapText="1" indent="0" justifyLastLine="0" shrinkToFit="0" readingOrder="0"/>
    </dxf>
    <dxf>
      <numFmt numFmtId="164" formatCode="dd/mm/yyyy;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dd/mm/yyyy;@"/>
      <alignment horizontal="center" vertical="center" textRotation="0" wrapText="1" indent="0" justifyLastLine="0" shrinkToFit="0" readingOrder="0"/>
    </dxf>
    <dxf>
      <numFmt numFmtId="164" formatCode="dd/mm/yyyy;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0" formatCode="General"/>
      <fill>
        <patternFill patternType="solid">
          <fgColor rgb="FFE6E6E6"/>
          <bgColor theme="6" tint="-0.499984740745262"/>
        </patternFill>
      </fill>
      <alignment horizontal="left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4" formatCode="dd/mm/yyyy;@"/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64" formatCode="dd/mm/yyyy;@"/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64" formatCode="dd/mm/yyyy;@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rgb="FFE6E6E6"/>
          <bgColor theme="6" tint="-0.499984740745262"/>
        </patternFill>
      </fill>
      <alignment horizontal="left" vertical="center" textRotation="0" wrapText="1" indent="0" justifyLastLine="0" shrinkToFit="0" readingOrder="0"/>
    </dxf>
    <dxf>
      <font>
        <strike val="0"/>
        <color theme="0" tint="-0.24994659260841701"/>
      </font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4" formatCode="dd/mm/yyyy;@"/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64" formatCode="dd/mm/yyyy;@"/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64" formatCode="dd/mm/yyyy;@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rgb="FFE6E6E6"/>
          <bgColor theme="6" tint="-0.499984740745262"/>
        </patternFill>
      </fill>
      <alignment horizontal="left" vertical="center" textRotation="0" wrapText="1" indent="0" justifyLastLine="0" shrinkToFit="0" readingOrder="0"/>
    </dxf>
    <dxf>
      <font>
        <strike val="0"/>
        <color theme="0" tint="-0.24994659260841701"/>
      </font>
    </dxf>
    <dxf>
      <font>
        <strike val="0"/>
        <color theme="0" tint="-0.24994659260841701"/>
      </font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dd/mm/yyyy;@"/>
      <alignment horizontal="center" vertical="center" textRotation="0" wrapText="1" indent="0" justifyLastLine="0" shrinkToFit="0" readingOrder="0"/>
    </dxf>
    <dxf>
      <numFmt numFmtId="164" formatCode="dd/mm/yyyy;@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dd/mm/yyyy;@"/>
      <alignment horizontal="center" vertical="center" textRotation="0" wrapText="1" indent="0" justifyLastLine="0" shrinkToFit="0" readingOrder="0"/>
    </dxf>
    <dxf>
      <numFmt numFmtId="164" formatCode="dd/mm/yyyy;@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dd/mm/yyyy;@"/>
      <alignment horizontal="center" vertical="center" textRotation="0" wrapText="1" indent="0" justifyLastLine="0" shrinkToFit="0" readingOrder="0"/>
    </dxf>
    <dxf>
      <numFmt numFmtId="164" formatCode="dd/mm/yyyy;@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2" formatCode="0.00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rgb="FFE6E6E6"/>
          <bgColor theme="6" tint="-0.499984740745262"/>
        </patternFill>
      </fill>
      <alignment horizontal="left" vertical="center" textRotation="0" wrapText="1" indent="0" justifyLastLine="0" shrinkToFit="0" readingOrder="0"/>
    </dxf>
    <dxf>
      <font>
        <strike val="0"/>
        <color theme="0" tint="-0.24994659260841701"/>
      </font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color rgb="FFFF0000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dd/mm/yyyy;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numFmt numFmtId="164" formatCode="dd/mm/yyyy;@"/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dd/mm/yyyy;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numFmt numFmtId="164" formatCode="dd/mm/yyyy;@"/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dd/mm/yyyy;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numFmt numFmtId="164" formatCode="dd/mm/yyyy;@"/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>
          <fgColor indexed="64"/>
          <bgColor theme="6" tint="-0.499984740745262"/>
        </patternFill>
      </fill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rgb="FFE6E6E6"/>
          <bgColor theme="6" tint="-0.499984740745262"/>
        </patternFill>
      </fill>
      <alignment horizontal="left" vertical="center" textRotation="0" wrapText="1" indent="0" justifyLastLine="0" shrinkToFit="0" readingOrder="0"/>
    </dxf>
    <dxf>
      <font>
        <strike val="0"/>
        <color theme="0" tint="-0.24994659260841701"/>
      </font>
    </dxf>
    <dxf>
      <font>
        <strike val="0"/>
        <color theme="0" tint="-0.24994659260841701"/>
      </font>
    </dxf>
    <dxf>
      <font>
        <strike val="0"/>
        <color theme="0" tint="-0.24994659260841701"/>
      </font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dd/mm/yyyy;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dd/mm/yyyy;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dd/mm/yyyy;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dd/mm/yyyy;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dd/mm/yyyy;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dd/mm/yyyy;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dd/mm/yyyy;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dd/mm/yyyy;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dd/mm/yyyy;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dd/mm/yyyy;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dd/mm/yyyy;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dd/mm/yyyy;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dd/mm/yyyy;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dd/mm/yyyy;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dd/mm/yyyy;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dd/mm/yyyy;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dd/mm/yyyy;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dd/mm/yyyy;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dd/mm/yyyy;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dd/mm/yyyy;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theme="0"/>
        <name val="Calibri"/>
        <family val="2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outline="0">
        <bottom style="medium">
          <color rgb="FF000000"/>
        </bottom>
      </border>
    </dxf>
    <dxf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Calibri"/>
        <scheme val="none"/>
      </font>
      <fill>
        <patternFill patternType="solid">
          <fgColor rgb="FFE6E6E6"/>
          <bgColor theme="6" tint="-0.499984740745262"/>
        </patternFill>
      </fill>
      <alignment horizontal="left" vertical="center" textRotation="0" wrapText="1" indent="0" justifyLastLine="0" shrinkToFit="0" readingOrder="0"/>
    </dxf>
    <dxf>
      <font>
        <strike val="0"/>
        <color theme="0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B532C8-9243-4B6A-93F6-75198E9D89D6}" name="Table1" displayName="Table1" ref="A2:AV13" totalsRowCount="1" headerRowDxfId="476" dataDxfId="475" headerRowBorderDxfId="474" headerRowCellStyle="STYLE0">
  <autoFilter ref="A2:AV12" xr:uid="{C9B532C8-9243-4B6A-93F6-75198E9D89D6}"/>
  <sortState xmlns:xlrd2="http://schemas.microsoft.com/office/spreadsheetml/2017/richdata2" ref="A3:AV12">
    <sortCondition ref="A2:A12"/>
  </sortState>
  <tableColumns count="48">
    <tableColumn id="1" xr3:uid="{1E80EB16-9EF6-4E8D-8DCA-2A92738678FA}" name="Site reference" dataDxfId="472" totalsRowDxfId="473"/>
    <tableColumn id="39" xr3:uid="{FCEF4632-784A-4186-933B-E1F9C304925F}" name="Site Name" dataDxfId="470" totalsRowDxfId="471"/>
    <tableColumn id="2" xr3:uid="{64FD2DDA-A10D-4864-9A02-8BB023571460}" name="LDP2019 reference" dataDxfId="468" totalsRowDxfId="469"/>
    <tableColumn id="54" xr3:uid="{B123F9A5-EA94-4E64-834A-76AFB4DBB280}" name="Site Address" dataDxfId="466" totalsRowDxfId="467"/>
    <tableColumn id="56" xr3:uid="{4DF2B4A6-5559-425F-9C60-5889E2E84DD6}" name="UPRN" dataDxfId="464" totalsRowDxfId="465"/>
    <tableColumn id="5" xr3:uid="{11E6A1D4-0C80-428C-95BE-4D8A6A06879B}" name="Easting" dataDxfId="462" totalsRowDxfId="463"/>
    <tableColumn id="6" xr3:uid="{6745D8FE-09D5-4567-9BD7-7C03A07AEDB1}" name="Northing" dataDxfId="460" totalsRowDxfId="461"/>
    <tableColumn id="7" xr3:uid="{8FF0C44C-5E84-4CE4-A161-32677C179DCD}" name="Site area (ha)" dataDxfId="458" totalsRowDxfId="459"/>
    <tableColumn id="3" xr3:uid="{441FE7C3-768A-4D8C-850A-5B70116B7ABD}" name="Year site added" dataDxfId="456" totalsRowDxfId="457"/>
    <tableColumn id="37" xr3:uid="{228BB752-44ED-4C9D-A9C4-6F8AA720203A}" name="LDP/ Windfall/ Other" dataDxfId="454" totalsRowDxfId="455"/>
    <tableColumn id="38" xr3:uid="{D0B2EC28-89F0-4029-93A3-6CFB6E205983}" name="Planning Status" dataDxfId="452" totalsRowDxfId="453"/>
    <tableColumn id="40" xr3:uid="{0326977E-6191-43EE-A244-FB31BC1B24FE}" name="Other Detail" dataDxfId="450" totalsRowDxfId="451"/>
    <tableColumn id="8" xr3:uid="{2D02C120-BB8D-4C0C-9759-B9634FD3F06A}" name="Planning application reference" dataDxfId="448" totalsRowDxfId="449"/>
    <tableColumn id="10" xr3:uid="{84FC5387-9A72-493B-ACE5-7B27F93197D8}" name="Last planning approval date" dataDxfId="446" totalsRowDxfId="447"/>
    <tableColumn id="52" xr3:uid="{FA6B1F57-42B6-4551-BB43-3D8E33245866}" name="Construction Status" dataDxfId="444" totalsRowDxfId="445"/>
    <tableColumn id="55" xr3:uid="{06964C4D-BF1B-49B3-8D21-8978D0E6DA40}" name="Construction Start Date" dataDxfId="442" totalsRowDxfId="443"/>
    <tableColumn id="14" xr3:uid="{55D35376-D43A-46A4-81DF-B76E31A0AD7A}" name="Site capacity" totalsRowFunction="sum" dataDxfId="440" totalsRowDxfId="441"/>
    <tableColumn id="20" xr3:uid="{E6550B43-CDA8-472C-94B3-EA1D742DE6E7}" name="Units to build" totalsRowFunction="sum" dataDxfId="438" totalsRowDxfId="439"/>
    <tableColumn id="17" xr3:uid="{14AC8723-6415-4BB5-B58D-F91F0E8FB127}" name="Plots completed in survey year" totalsRowFunction="sum" dataDxfId="436" totalsRowDxfId="437"/>
    <tableColumn id="19" xr3:uid="{0E224C03-378D-4671-81CF-87D1AFDC3DD0}" name="Total completions" totalsRowFunction="sum" dataDxfId="434" totalsRowDxfId="435"/>
    <tableColumn id="27" xr3:uid="{78AC7E3C-40B9-4E1C-9D31-14473AC11FA4}" name="Programmed Y1 (26-27)" totalsRowFunction="sum" dataDxfId="432" totalsRowDxfId="433"/>
    <tableColumn id="28" xr3:uid="{A5DF1EE8-4C56-494A-AA3F-269116F82405}" name="Programmed Y2 (27-28)" totalsRowFunction="sum" dataDxfId="430" totalsRowDxfId="431"/>
    <tableColumn id="29" xr3:uid="{719A0A45-D137-4859-A672-A8B54F3FB17C}" name="Programmed Y3 (28-29)" totalsRowFunction="sum" dataDxfId="428" totalsRowDxfId="429"/>
    <tableColumn id="30" xr3:uid="{4244231B-0172-4DB8-BDF5-DB3A99E767CC}" name="Programmed Y4 (29-30)" totalsRowFunction="sum" dataDxfId="426" totalsRowDxfId="427"/>
    <tableColumn id="31" xr3:uid="{0792CB04-E224-459B-8B1F-6C657A701987}" name="Programmed Y5 (30-31)" totalsRowFunction="sum" dataDxfId="424" totalsRowDxfId="425"/>
    <tableColumn id="32" xr3:uid="{DC60D1F8-E480-407A-8985-827F8382D4F3}" name="Programmed Y6 (31-32)" totalsRowFunction="sum" dataDxfId="422" totalsRowDxfId="423"/>
    <tableColumn id="33" xr3:uid="{265579F4-B207-4799-9D6E-5F8131CC4DD2}" name="Programmed Y7 (32-33)" totalsRowFunction="sum" dataDxfId="420" totalsRowDxfId="421"/>
    <tableColumn id="34" xr3:uid="{37450C7F-3E5B-4B8A-805C-390EB6333BBC}" name="Programmed Y8 (33-34)" totalsRowFunction="sum" dataDxfId="418" totalsRowDxfId="419"/>
    <tableColumn id="35" xr3:uid="{85D2DE2F-A26A-4E39-BEAA-92739302B2AD}" name="Programmed Y9 (34-35)" totalsRowFunction="sum" dataDxfId="416" totalsRowDxfId="417"/>
    <tableColumn id="36" xr3:uid="{935F770E-3901-47A9-A27E-83E9AC62C6CD}" name="Programmed Y10 (35-36)" totalsRowFunction="sum" dataDxfId="414" totalsRowDxfId="415"/>
    <tableColumn id="21" xr3:uid="{823851B5-1338-4C05-B22A-E4B54017A6F0}" name="Later Years" totalsRowFunction="sum" dataDxfId="412" totalsRowDxfId="413"/>
    <tableColumn id="22" xr3:uid="{CEF6DEB3-146F-4D93-BF01-DADA43944256}" name="Total Programmed" totalsRowFunction="sum" dataDxfId="410" totalsRowDxfId="411">
      <calculatedColumnFormula>SUM(Table1[[#This Row],[Programmed Y1 (26-27)]:[Later Years]])</calculatedColumnFormula>
    </tableColumn>
    <tableColumn id="50" xr3:uid="{E3CC08B7-065F-41B9-8488-0049D9FFCD9C}" name="Pipeline Timeframe" dataDxfId="408" totalsRowDxfId="409"/>
    <tableColumn id="53" xr3:uid="{83406DD3-26F3-4285-9B54-130268423C8E}" name="Market/ Affordable/ Mixed" dataDxfId="406" totalsRowDxfId="407"/>
    <tableColumn id="41" xr3:uid="{D2D87A08-2BF2-4611-85CA-BA0B1617CB32}" name="Number Market" totalsRowFunction="sum" dataDxfId="404" totalsRowDxfId="405"/>
    <tableColumn id="42" xr3:uid="{15F0AF5B-83D2-4CD3-98DD-F5DBDC7B037C}" name="Number Affordable" totalsRowFunction="sum" dataDxfId="402" totalsRowDxfId="403"/>
    <tableColumn id="16" xr3:uid="{92825D22-E3E6-49E6-AF2F-111F16BBC630}" name="No of flats" totalsRowFunction="sum" dataDxfId="400" totalsRowDxfId="401"/>
    <tableColumn id="15" xr3:uid="{B976452D-F251-4F0B-9416-6B6B463943C2}" name="No of houses" totalsRowFunction="sum" dataDxfId="398" totalsRowDxfId="399"/>
    <tableColumn id="11" xr3:uid="{4E1EE9E9-4C30-41E8-8D13-F2DE8839539A}" name="Effective/ Constrained/ Small" dataDxfId="396" totalsRowDxfId="397"/>
    <tableColumn id="43" xr3:uid="{C5EBC86A-93AA-4846-82DA-37761D96E36A}" name="Deliverability Status" dataDxfId="394" totalsRowDxfId="395"/>
    <tableColumn id="44" xr3:uid="{B9DEBEBF-8F76-4AAC-856B-2668DC6404E0}" name="Action Required" dataDxfId="392" totalsRowDxfId="393"/>
    <tableColumn id="45" xr3:uid="{37C3C70D-9FA2-453F-826C-AD5C7895FA06}" name="Owner" dataDxfId="390" totalsRowDxfId="391"/>
    <tableColumn id="46" xr3:uid="{7CF6F9C4-D8D2-42AB-89BE-035DA9600303}" name="Developer" dataDxfId="388" totalsRowDxfId="389"/>
    <tableColumn id="4" xr3:uid="{F935EE98-7565-414D-BA00-1FDBDE08CE1F}" name="Greenfield/ Brownfield" dataDxfId="386" totalsRowDxfId="387"/>
    <tableColumn id="47" xr3:uid="{4605959A-73F4-4667-9842-593A83687198}" name="VDL Site" dataDxfId="384" totalsRowDxfId="385"/>
    <tableColumn id="51" xr3:uid="{06FBDF46-BBB8-435C-82D7-2AF8BD83EA93}" name="Self Build" dataDxfId="382" totalsRowDxfId="383"/>
    <tableColumn id="48" xr3:uid="{C9BB4979-DD50-403E-868B-FFCE9A8BBCF5}" name="Dispute" dataDxfId="380" totalsRowDxfId="381"/>
    <tableColumn id="49" xr3:uid="{52B0DAD5-BB03-4F41-A206-0A0BCC0C0208}" name="Demolition Information" dataDxfId="378" totalsRowDxfId="379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A8D198F-95E8-4913-9B4F-D3054B2EEAED}" name="Table6" displayName="Table6" ref="A2:AV53" totalsRowCount="1" headerRowDxfId="374" dataDxfId="373" totalsRowDxfId="372" headerRowCellStyle="STYLE0">
  <autoFilter ref="A2:AV52" xr:uid="{AA8D198F-95E8-4913-9B4F-D3054B2EEAED}"/>
  <sortState xmlns:xlrd2="http://schemas.microsoft.com/office/spreadsheetml/2017/richdata2" ref="A3:AV52">
    <sortCondition ref="A2:A52"/>
  </sortState>
  <tableColumns count="48">
    <tableColumn id="1" xr3:uid="{96D0E6E8-9E70-40C6-8CD2-6433A870C5EB}" name="Site reference" totalsRowLabel="Totals" dataDxfId="370" totalsRowDxfId="371"/>
    <tableColumn id="2" xr3:uid="{8A796AD0-F388-4518-AB35-E97AA555DF76}" name="Site Name" dataDxfId="368" totalsRowDxfId="369"/>
    <tableColumn id="3" xr3:uid="{5604D7CD-88B2-48D5-BECC-EBC96522B5CC}" name="LDP2019 reference" dataDxfId="366" totalsRowDxfId="367"/>
    <tableColumn id="4" xr3:uid="{04E76FAC-DE6D-4BCA-B859-1383FF85D535}" name="Site Address" dataDxfId="364" totalsRowDxfId="365"/>
    <tableColumn id="5" xr3:uid="{F754B2B6-D725-4A56-863C-61C8DC66FFAC}" name="UPRN" dataDxfId="362" totalsRowDxfId="363"/>
    <tableColumn id="6" xr3:uid="{6AC5AD98-3272-48D1-A515-41425F5152E6}" name="Easting" dataDxfId="360" totalsRowDxfId="361"/>
    <tableColumn id="7" xr3:uid="{FBEC466C-3F78-4770-A44D-98D7BEA5D767}" name="Northing" dataDxfId="358" totalsRowDxfId="359"/>
    <tableColumn id="8" xr3:uid="{80B3E607-B715-4D93-9A66-2C8653142C39}" name="Site area (ha)" dataDxfId="356" totalsRowDxfId="357"/>
    <tableColumn id="9" xr3:uid="{D9B37259-D034-4C8E-85FC-2138B260D7D1}" name="Year site added" dataDxfId="354" totalsRowDxfId="355"/>
    <tableColumn id="10" xr3:uid="{78A88E98-A219-478F-9137-0EB3913607C5}" name="LDP/ Windfall/ Other" dataDxfId="352" totalsRowDxfId="353"/>
    <tableColumn id="11" xr3:uid="{D36AE2FB-A778-42DB-A192-E2974320AE6E}" name="Planning Status" dataDxfId="350" totalsRowDxfId="351"/>
    <tableColumn id="12" xr3:uid="{D5AB0FBE-A29F-48BD-A844-A2758E1C7DE0}" name="Other Detail" dataDxfId="348" totalsRowDxfId="349"/>
    <tableColumn id="13" xr3:uid="{5084A5DE-BDF2-4885-AEA6-529B28F9C568}" name="Planning application reference" dataDxfId="346" totalsRowDxfId="347"/>
    <tableColumn id="14" xr3:uid="{19BF084F-9467-4B8D-B2D2-8474DAF84080}" name="Last planning approval date" dataDxfId="344" totalsRowDxfId="345"/>
    <tableColumn id="20" xr3:uid="{E7E34AF3-F6C0-44B4-B717-264E1821BAF5}" name="Construction Status" dataDxfId="342" totalsRowDxfId="343"/>
    <tableColumn id="21" xr3:uid="{97F7B67A-F812-4E20-BD79-5215A6A6FDA8}" name="Construction Start Date" dataDxfId="340" totalsRowDxfId="341"/>
    <tableColumn id="22" xr3:uid="{DBE4FFDB-6288-483A-B6C0-8EF849F3606F}" name="Site capacity" totalsRowFunction="sum" dataDxfId="338" totalsRowDxfId="339"/>
    <tableColumn id="23" xr3:uid="{BF6C94D2-6162-47CA-AB90-12F472FFA30F}" name="Units to build" totalsRowFunction="sum" dataDxfId="336" totalsRowDxfId="337"/>
    <tableColumn id="24" xr3:uid="{20F231FC-5B90-4D84-87AD-DD42D8ADA43A}" name="Plots completed in survey year" totalsRowFunction="sum" dataDxfId="334" totalsRowDxfId="335"/>
    <tableColumn id="25" xr3:uid="{BEBBB008-7E5F-443C-9DDE-8912D4CF78CD}" name="Total completions" totalsRowFunction="sum" dataDxfId="332" totalsRowDxfId="333"/>
    <tableColumn id="26" xr3:uid="{04332CE1-60A6-41EE-8A49-FB28F8AFD85A}" name="Programmed Y1 (26-27)" totalsRowFunction="sum" dataDxfId="330" totalsRowDxfId="331"/>
    <tableColumn id="27" xr3:uid="{93854D98-1AA2-4D78-90D5-123E4A2E4B34}" name="Programmed Y2 (27-28)" totalsRowFunction="sum" dataDxfId="328" totalsRowDxfId="329"/>
    <tableColumn id="28" xr3:uid="{1A345B7E-284A-4127-8510-6CF404E1F8F2}" name="Programmed Y3 (28-29)" totalsRowFunction="sum" dataDxfId="326" totalsRowDxfId="327"/>
    <tableColumn id="29" xr3:uid="{D22234F0-9A19-4A44-919E-C0FBEFB43DE7}" name="Programmed Y4 (29-30)" totalsRowFunction="sum" dataDxfId="324" totalsRowDxfId="325"/>
    <tableColumn id="30" xr3:uid="{6702C305-5066-4F18-B700-DDAABDCAE71C}" name="Programmed Y5 (30-31)" totalsRowFunction="sum" dataDxfId="322" totalsRowDxfId="323"/>
    <tableColumn id="31" xr3:uid="{F86C0018-F39A-4FD0-BF92-7878D6F0331F}" name="Programmed Y6 (31-32)" totalsRowFunction="sum" dataDxfId="320" totalsRowDxfId="321"/>
    <tableColumn id="32" xr3:uid="{623A10B3-5C6F-4BD2-825D-C239629ACEEF}" name="Programmed Y7 (32-33)" totalsRowFunction="sum" dataDxfId="318" totalsRowDxfId="319"/>
    <tableColumn id="33" xr3:uid="{30DCB75A-2202-444A-94EB-2F3B65A237C8}" name="Programmed Y8 (33-34)" totalsRowFunction="sum" dataDxfId="316" totalsRowDxfId="317"/>
    <tableColumn id="34" xr3:uid="{90044D00-E47B-48C8-9413-F7AE248642C0}" name="Programmed Y9 (34-35)" totalsRowFunction="sum" dataDxfId="314" totalsRowDxfId="315"/>
    <tableColumn id="35" xr3:uid="{AE40489D-40B4-4427-8F3A-05CEB31C5F88}" name="Programmed Y10 (35-36)" totalsRowFunction="sum" dataDxfId="312" totalsRowDxfId="313"/>
    <tableColumn id="36" xr3:uid="{5C967937-8ED9-4067-B1B3-95B1437F0FE0}" name="Later Years" totalsRowFunction="sum" dataDxfId="310" totalsRowDxfId="311"/>
    <tableColumn id="37" xr3:uid="{2009FC48-E4F9-4D52-B770-91462861A649}" name="Total Programmed" totalsRowFunction="sum" dataDxfId="308" totalsRowDxfId="309">
      <calculatedColumnFormula>SUM(Table6[[#This Row],[Programmed Y1 (26-27)]:[Later Years]])</calculatedColumnFormula>
    </tableColumn>
    <tableColumn id="38" xr3:uid="{6519CFE8-45D3-4AAC-A0AA-C7C60E8191A9}" name="Pipeline Timeframe" dataDxfId="306" totalsRowDxfId="307"/>
    <tableColumn id="39" xr3:uid="{6F2A3F0D-55FE-45DF-BC53-9DD2D7C6D1DE}" name="Market/ Affordable/ Mixed" dataDxfId="304" totalsRowDxfId="305"/>
    <tableColumn id="40" xr3:uid="{6719FBCF-857A-46B5-B74F-733F9C1E5EE5}" name="Number Market" totalsRowFunction="sum" dataDxfId="302" totalsRowDxfId="303"/>
    <tableColumn id="41" xr3:uid="{D7E54308-E3E0-43C5-95EC-D1DD371AA33D}" name="Number Affordable" totalsRowFunction="sum" dataDxfId="300" totalsRowDxfId="301"/>
    <tableColumn id="42" xr3:uid="{ED49F775-CDDF-42A6-BD35-879E05AB27BE}" name="No of flats" totalsRowFunction="sum" dataDxfId="298" totalsRowDxfId="299"/>
    <tableColumn id="43" xr3:uid="{352DF215-D76F-42B3-9EE0-AFC661641894}" name="No of houses" totalsRowFunction="sum" dataDxfId="296" totalsRowDxfId="297"/>
    <tableColumn id="44" xr3:uid="{09A87D9B-4185-4719-B187-FF61FEC4F45D}" name="Effective/ Constrained/ Small" dataDxfId="294" totalsRowDxfId="295"/>
    <tableColumn id="45" xr3:uid="{720B3835-820F-4265-8FE6-E14180EC2B2D}" name="Deliverability Status" dataDxfId="292" totalsRowDxfId="293"/>
    <tableColumn id="46" xr3:uid="{F88C4907-E349-4ED9-8FBC-B8A50F6B3A31}" name="Action Required" dataDxfId="290" totalsRowDxfId="291"/>
    <tableColumn id="47" xr3:uid="{7E2D73BF-F8E0-48DF-A013-CCB6D2B141B3}" name="Owner" dataDxfId="288" totalsRowDxfId="289"/>
    <tableColumn id="48" xr3:uid="{59D6674E-F127-4BE5-8DCD-E1CE6BCA28D2}" name="Developer" dataDxfId="286" totalsRowDxfId="287"/>
    <tableColumn id="49" xr3:uid="{5CD34E3A-F46B-4F48-9B94-C68FB96DEE42}" name="Greenfield/ Brownfield" dataDxfId="284" totalsRowDxfId="285"/>
    <tableColumn id="50" xr3:uid="{9F08B456-2FCE-4A10-BA7D-E0179DA82CA4}" name="VDL Site" dataDxfId="282" totalsRowDxfId="283"/>
    <tableColumn id="51" xr3:uid="{540DCF04-C79D-4C3B-9E70-3CC6FAA8DECA}" name="Self Build" dataDxfId="280" totalsRowDxfId="281"/>
    <tableColumn id="52" xr3:uid="{AFBFA010-302A-4A0E-9840-650BC1B1432F}" name="Dispute" dataDxfId="278" totalsRowDxfId="279"/>
    <tableColumn id="53" xr3:uid="{E2CA38C7-0BBB-4885-83DD-DBD77E19D294}" name="Demolition Information" dataDxfId="276" totalsRowDxfId="277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B0FA121-C58E-4F99-B71C-A0B8581A04CD}" name="Table5" displayName="Table5" ref="A2:AJ61" totalsRowCount="1" headerRowDxfId="274" dataDxfId="273" headerRowCellStyle="STYLE0">
  <autoFilter ref="A2:AJ60" xr:uid="{EB0FA121-C58E-4F99-B71C-A0B8581A04CD}"/>
  <sortState xmlns:xlrd2="http://schemas.microsoft.com/office/spreadsheetml/2017/richdata2" ref="A3:AJ60">
    <sortCondition ref="A2:A60"/>
  </sortState>
  <tableColumns count="36">
    <tableColumn id="1" xr3:uid="{7F36ED1B-1E65-4EF2-94D9-52797C391446}" name="Site reference" dataDxfId="271" totalsRowDxfId="272"/>
    <tableColumn id="2" xr3:uid="{65D68B2F-245E-4A03-9635-96A3ECF2FB5A}" name="Site Name" dataDxfId="269" totalsRowDxfId="270"/>
    <tableColumn id="3" xr3:uid="{6929C3A1-0836-4590-8B68-D08F09C14997}" name="LDP2019 reference" dataDxfId="267" totalsRowDxfId="268"/>
    <tableColumn id="4" xr3:uid="{CBA6BDC7-4B2D-4B45-8960-83C4F03245C9}" name="Site Address" dataDxfId="265" totalsRowDxfId="266"/>
    <tableColumn id="5" xr3:uid="{76B29FA9-AC40-4D73-ABB2-A329FE32EFA5}" name="UPRN" dataDxfId="263" totalsRowDxfId="264"/>
    <tableColumn id="6" xr3:uid="{377206B9-4B96-45A5-A8A8-7E5A5F75A830}" name="Easting" dataDxfId="261" totalsRowDxfId="262"/>
    <tableColumn id="7" xr3:uid="{A8828B06-263F-489E-875D-679A0C0B35EA}" name="Northing" dataDxfId="259" totalsRowDxfId="260"/>
    <tableColumn id="8" xr3:uid="{8C795473-422A-4B9F-B882-8392C42541E9}" name="Site area (ha)" dataDxfId="257" totalsRowDxfId="258"/>
    <tableColumn id="9" xr3:uid="{265FF1EB-D708-40C8-A22B-DF940C590219}" name="Year site added" dataDxfId="255" totalsRowDxfId="256"/>
    <tableColumn id="10" xr3:uid="{4A74B743-DCE6-45E3-A24C-587619F55038}" name="LDP/ Windfall/ Other" dataDxfId="253" totalsRowDxfId="254"/>
    <tableColumn id="11" xr3:uid="{022D0DB2-3DFC-4FF6-B2D6-D04EA112E15F}" name="Planning Status" dataDxfId="251" totalsRowDxfId="252"/>
    <tableColumn id="12" xr3:uid="{A4CC51C7-BEF9-4C9E-921C-59A5805EAC8A}" name="Other Detail" dataDxfId="249" totalsRowDxfId="250"/>
    <tableColumn id="13" xr3:uid="{674C68EC-50D5-439C-ACD3-6929B6710251}" name="Planning application reference" dataDxfId="247" totalsRowDxfId="248"/>
    <tableColumn id="14" xr3:uid="{FC1FAB75-699B-4E5F-8795-EBC9BCEA491B}" name="Last planning approval date" dataDxfId="245" totalsRowDxfId="246"/>
    <tableColumn id="20" xr3:uid="{7F7E7B0D-47BC-4696-A0EC-023DC3292770}" name="Construction Status" dataDxfId="243" totalsRowDxfId="244"/>
    <tableColumn id="21" xr3:uid="{2AB872DA-97C7-49C1-848F-7E5864A01DBE}" name="Construction Start Date" dataDxfId="241" totalsRowDxfId="242"/>
    <tableColumn id="22" xr3:uid="{B62BBB18-4614-4139-86D6-3E3E97E286D6}" name="Site capacity" totalsRowFunction="sum" dataDxfId="239" totalsRowDxfId="240"/>
    <tableColumn id="23" xr3:uid="{7E684E36-854D-4F8E-BE72-E42A91469F55}" name="Units to build" totalsRowFunction="sum" dataDxfId="237" totalsRowDxfId="238"/>
    <tableColumn id="24" xr3:uid="{0F3C1C59-DFDD-4AAE-B9A6-B12E1ADCAAE1}" name="Plots completed in survey year" totalsRowFunction="sum" dataDxfId="235" totalsRowDxfId="236"/>
    <tableColumn id="25" xr3:uid="{8198AD65-FE6F-452A-A1E9-A0CA0756B4DD}" name="Total completions" totalsRowFunction="sum" dataDxfId="233" totalsRowDxfId="234"/>
    <tableColumn id="38" xr3:uid="{CB943E93-5349-40CB-9A3D-30A4C62A05EF}" name="Pipeline Timeframe" dataDxfId="231" totalsRowDxfId="232"/>
    <tableColumn id="39" xr3:uid="{0B195A03-AB92-4F4B-826D-108551F7E053}" name="Market/ Affordable/ Mixed" dataDxfId="229" totalsRowDxfId="230"/>
    <tableColumn id="40" xr3:uid="{57918BDF-5D21-4AB0-B0C6-469EDD889B06}" name="Number Market" totalsRowFunction="sum" dataDxfId="227" totalsRowDxfId="228"/>
    <tableColumn id="41" xr3:uid="{392166C3-04A1-49B6-8F78-25F3B7F3A1C1}" name="Number Affordable" totalsRowFunction="sum" dataDxfId="225" totalsRowDxfId="226"/>
    <tableColumn id="42" xr3:uid="{DC55432D-404D-4285-B11B-C38EDFF26138}" name="No of flats" dataDxfId="223" totalsRowDxfId="224"/>
    <tableColumn id="43" xr3:uid="{3F28635E-E7E4-4494-8BC5-D8D2D2C97315}" name="No of houses" dataDxfId="221" totalsRowDxfId="222"/>
    <tableColumn id="44" xr3:uid="{A73E3CCC-5361-43FE-9DCE-FB0B9E00C32F}" name="Effective/ Constrained/ Small" dataDxfId="219" totalsRowDxfId="220"/>
    <tableColumn id="45" xr3:uid="{0D9C3FD9-D821-4C33-AC5C-4CD42255E0AE}" name="Deliverability Status" dataDxfId="217" totalsRowDxfId="218"/>
    <tableColumn id="46" xr3:uid="{DD432C87-175B-4866-932C-4EBB807C5BA0}" name="Action Required" dataDxfId="215" totalsRowDxfId="216"/>
    <tableColumn id="47" xr3:uid="{ED1CBAC5-9812-4E58-88E8-26E1A71616EF}" name="Owner" dataDxfId="213" totalsRowDxfId="214"/>
    <tableColumn id="48" xr3:uid="{631B8433-A8BC-42C1-86D1-C0C7A0B074B1}" name="Developer" dataDxfId="211" totalsRowDxfId="212"/>
    <tableColumn id="49" xr3:uid="{CDE6761A-DA80-4DEB-8D94-DE8252DEB927}" name="Greenfield/ Brownfield" dataDxfId="209" totalsRowDxfId="210"/>
    <tableColumn id="50" xr3:uid="{2302A44F-DA2B-48F5-B65C-1AFC40A71B34}" name="VDL Site" dataDxfId="207" totalsRowDxfId="208"/>
    <tableColumn id="51" xr3:uid="{71F11C4F-7C75-484E-8AA4-EB789D9B0108}" name="Self Build" dataDxfId="205" totalsRowDxfId="206"/>
    <tableColumn id="52" xr3:uid="{F70019E1-3B31-4330-BE2B-AA976C1B02B3}" name="Dispute" dataDxfId="203" totalsRowDxfId="204"/>
    <tableColumn id="53" xr3:uid="{E278926A-52D4-4E33-9BAC-9664978392F1}" name="Demolition Information" dataDxfId="201" totalsRowDxfId="202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C914AA6-AD2D-4C63-A993-EA42AA852570}" name="Table4" displayName="Table4" ref="A2:AV12" totalsRowShown="0" headerRowDxfId="198" dataDxfId="197" headerRowCellStyle="STYLE0">
  <autoFilter ref="A2:AV12" xr:uid="{BC914AA6-AD2D-4C63-A993-EA42AA852570}"/>
  <sortState xmlns:xlrd2="http://schemas.microsoft.com/office/spreadsheetml/2017/richdata2" ref="A3:AV12">
    <sortCondition ref="A2:A12"/>
  </sortState>
  <tableColumns count="48">
    <tableColumn id="1" xr3:uid="{21F4ED91-5D94-47A3-B7DF-54DAF47990E3}" name="Site reference" dataDxfId="196"/>
    <tableColumn id="2" xr3:uid="{FF0D3102-93CA-4FCF-9413-C958FC3F20E1}" name="Site Name" dataDxfId="195"/>
    <tableColumn id="3" xr3:uid="{A47A9A94-6215-4151-A077-0806372A3961}" name="LDP2019 reference" dataDxfId="194"/>
    <tableColumn id="4" xr3:uid="{615EA8B2-93D1-4024-A670-C8EB76EEC370}" name="Site Address" dataDxfId="193"/>
    <tableColumn id="5" xr3:uid="{84BFA897-D532-48F4-83C0-4C9151F1F26F}" name="UPRN" dataDxfId="192"/>
    <tableColumn id="6" xr3:uid="{650FF5CE-6081-47DD-9C8B-27543CF7C1C2}" name="Easting" dataDxfId="191"/>
    <tableColumn id="7" xr3:uid="{80211F7D-629E-4729-95F9-A4C4B682AECD}" name="Northing" dataDxfId="190"/>
    <tableColumn id="8" xr3:uid="{31674F14-300A-4AF3-937A-22846CCC3735}" name="Site area (ha)" dataDxfId="189"/>
    <tableColumn id="9" xr3:uid="{D327AA53-4333-4732-B4FE-BFBF2799980E}" name="Year site added" dataDxfId="188"/>
    <tableColumn id="10" xr3:uid="{E02FBA91-1C7F-4D9E-B21A-C4943BF5EE93}" name="LDP/ Windfall/ Other" dataDxfId="187"/>
    <tableColumn id="11" xr3:uid="{B5EC1548-1906-4EDC-BACF-7292C0AB61CF}" name="Planning Status" dataDxfId="186"/>
    <tableColumn id="12" xr3:uid="{BBAD7EE0-2DCC-4741-BA52-90494D1BBEAB}" name="Other Detail" dataDxfId="185"/>
    <tableColumn id="13" xr3:uid="{ECA6F486-4B16-498C-8C04-CF6C5C7B49BD}" name="Planning application reference" dataDxfId="184"/>
    <tableColumn id="14" xr3:uid="{D05646E8-7100-4B88-B67A-2D0009AD346C}" name="Last planning approval date" dataDxfId="183"/>
    <tableColumn id="20" xr3:uid="{B98C058B-8E41-42BA-AC01-5567094F1403}" name="Construction Status" dataDxfId="182"/>
    <tableColumn id="21" xr3:uid="{BF76ABB7-9CF6-4EE3-A050-4501C07ECBA9}" name="Construction Start Date" dataDxfId="181"/>
    <tableColumn id="22" xr3:uid="{099744E2-0BB1-4FE5-A9B6-74B1B1AC524A}" name="Site capacity" dataDxfId="180"/>
    <tableColumn id="23" xr3:uid="{642A1540-DB89-4BD4-9CDA-B1C1BD530A5B}" name="Units to build" dataDxfId="179"/>
    <tableColumn id="24" xr3:uid="{BB001002-3E94-42D9-BE61-C7CF87750FCE}" name="Plots completed in survey year" dataDxfId="178"/>
    <tableColumn id="25" xr3:uid="{7EC8A571-16E5-4CA6-9553-1F774CFB0EE0}" name="Total completions" dataDxfId="177"/>
    <tableColumn id="26" xr3:uid="{81C2F14F-7B78-4F79-8E48-BCE77B0CF164}" name="Programmed Y1" dataDxfId="176"/>
    <tableColumn id="27" xr3:uid="{B33FC082-6730-4940-AB57-388D44011BB4}" name="Programmed Y2" dataDxfId="175"/>
    <tableColumn id="28" xr3:uid="{69261F9B-94D4-4B35-8544-FC8AA1F950BB}" name="Programmed Y3" dataDxfId="174"/>
    <tableColumn id="29" xr3:uid="{FC369BC5-71C6-4E2A-BE3A-4003FE26E1BC}" name="Programmed Y4" dataDxfId="173"/>
    <tableColumn id="30" xr3:uid="{073C9009-5E04-45B0-926E-0F600147CA02}" name="Programmed Y5" dataDxfId="172"/>
    <tableColumn id="31" xr3:uid="{C0822D1C-21B3-43F4-ACF3-AB863D310EF3}" name="Programmed Y6" dataDxfId="171"/>
    <tableColumn id="32" xr3:uid="{A452E4CE-75A1-4CE1-9801-7241E4C7D02F}" name="Programmed Y7" dataDxfId="170"/>
    <tableColumn id="33" xr3:uid="{54AFDDEF-3C1C-473C-AA40-C9123CD677E2}" name="Programmed Y8" dataDxfId="169"/>
    <tableColumn id="34" xr3:uid="{900FEA2F-2404-4DEB-B057-A51E2495980B}" name="Programmed Y9" dataDxfId="168"/>
    <tableColumn id="35" xr3:uid="{BD2740D5-D293-4AA4-9D74-50F21A17163E}" name="Programmed Y10" dataDxfId="167"/>
    <tableColumn id="36" xr3:uid="{DFB42B4C-BA9C-4F02-B1CA-1236E0D6DE8C}" name="Later Years" dataDxfId="166"/>
    <tableColumn id="37" xr3:uid="{ECEECD78-4C87-4A53-98FC-6CE3BAC8B0A3}" name="Total Programmed" dataDxfId="165">
      <calculatedColumnFormula>SUM(Table4[[#This Row],[Programmed Y1]:[Later Years]])</calculatedColumnFormula>
    </tableColumn>
    <tableColumn id="38" xr3:uid="{1451ECC9-0D89-4313-872C-236B777A76FC}" name="Pipeline Timeframe" dataDxfId="164"/>
    <tableColumn id="39" xr3:uid="{C8843250-DD00-4CC5-A162-A4DBD4D370B9}" name="Market/ Affordable/ Mixed" dataDxfId="163"/>
    <tableColumn id="40" xr3:uid="{BDCECBCF-37B1-49F9-9638-2BF0D152F528}" name="Number Market" dataDxfId="162"/>
    <tableColumn id="41" xr3:uid="{E70CD2FE-7AF9-49F1-94FE-18A73632EACF}" name="Number Affordable" dataDxfId="161"/>
    <tableColumn id="42" xr3:uid="{FFD28114-4116-48AD-ADFE-F0953974FBA8}" name="No of flats" dataDxfId="160"/>
    <tableColumn id="43" xr3:uid="{503C76A9-1203-491E-96BC-4CDC093F9CAB}" name="No of houses" dataDxfId="159"/>
    <tableColumn id="44" xr3:uid="{B1241D85-2B91-449E-B70A-18FE697342E9}" name="Effective/ Constrained/ Small" dataDxfId="158"/>
    <tableColumn id="45" xr3:uid="{6721AE66-32E3-4568-AE7C-70D6E0AF8923}" name="Deliverability Status" dataDxfId="157"/>
    <tableColumn id="46" xr3:uid="{9AB9DBD6-A634-4C9E-9818-9874A950EFBC}" name="Action Required" dataDxfId="156"/>
    <tableColumn id="47" xr3:uid="{E4214D11-B8BD-443D-A298-AD578D6C6C32}" name="Owner" dataDxfId="155"/>
    <tableColumn id="48" xr3:uid="{B31BFD0F-3D4F-4D23-B7C2-A75106C0D68E}" name="Developer" dataDxfId="154"/>
    <tableColumn id="49" xr3:uid="{8C2AEF7C-DC43-491B-821A-2E42C7D6486C}" name="Greenfield/ Brownfield" dataDxfId="153"/>
    <tableColumn id="50" xr3:uid="{02BD209F-85A7-48B7-8086-4D0CBDBB6BB8}" name="VDL Site" dataDxfId="152"/>
    <tableColumn id="51" xr3:uid="{7A481E0F-9077-43CF-AB7B-9319A9FFFC95}" name="Self Build" dataDxfId="151"/>
    <tableColumn id="52" xr3:uid="{1D216631-8DC2-4EC1-94BC-353C3D9FB603}" name="Dispute" dataDxfId="150"/>
    <tableColumn id="53" xr3:uid="{C5A904DF-FFA0-4DB3-AAC2-271C42820DE5}" name="Demolition Information" dataDxfId="149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9969353-E8FC-45F5-A199-043406C49EA1}" name="Table3" displayName="Table3" ref="A23:AV30" totalsRowShown="0" headerRowDxfId="147" dataDxfId="146" headerRowCellStyle="STYLE0">
  <autoFilter ref="A23:AV30" xr:uid="{E9969353-E8FC-45F5-A199-043406C49EA1}"/>
  <tableColumns count="48">
    <tableColumn id="1" xr3:uid="{3299CE04-1486-44D0-84E1-33F4A2ADEEE9}" name="Site reference" dataDxfId="145"/>
    <tableColumn id="2" xr3:uid="{D0C9B5B5-280D-4007-814F-A7D2472251CC}" name="Site Name" dataDxfId="144"/>
    <tableColumn id="3" xr3:uid="{923FD921-379A-426E-A8C5-FEED39148A57}" name="LDP2019 reference" dataDxfId="143"/>
    <tableColumn id="4" xr3:uid="{AC8108C5-B94C-48CD-BE84-47CADA2A5ECD}" name="Site Address" dataDxfId="142"/>
    <tableColumn id="5" xr3:uid="{C4A413B8-9906-4D2E-A1F9-2AAFEC83C2CA}" name="UPRN" dataDxfId="141"/>
    <tableColumn id="6" xr3:uid="{41735A4F-FAF1-4148-BDCB-BF7F936EDD4B}" name="Easting" dataDxfId="140"/>
    <tableColumn id="7" xr3:uid="{8848923E-198C-49A9-AA9A-BD89EEA58C78}" name="Northing" dataDxfId="139"/>
    <tableColumn id="8" xr3:uid="{1EE82DD4-79C3-43CC-8BF5-0556AECD93B3}" name="Site area (ha)" dataDxfId="138"/>
    <tableColumn id="9" xr3:uid="{290ED2F5-4466-4060-B612-04DFD8791C10}" name="Year site added" dataDxfId="137"/>
    <tableColumn id="10" xr3:uid="{9320C0CF-61F0-4E9C-9987-69800649BB47}" name="LDP/ Windfall/ Other" dataDxfId="136"/>
    <tableColumn id="11" xr3:uid="{06464190-BEDF-41AD-A900-1728F9253F31}" name="Planning Status" dataDxfId="135"/>
    <tableColumn id="12" xr3:uid="{EAD393B8-D782-43D0-A42C-4F65D601E59E}" name="Other Detail" dataDxfId="134"/>
    <tableColumn id="13" xr3:uid="{BA8D9BF6-B216-44A1-B0DF-C76EEF6F6BA9}" name="Planning application reference" dataDxfId="133"/>
    <tableColumn id="14" xr3:uid="{0A629CD7-74B1-40CC-92B2-3B2FF64EEEDF}" name="Last planning approval date" dataDxfId="132"/>
    <tableColumn id="20" xr3:uid="{55CCF416-509F-4B7A-ACB1-14F925CD51DF}" name="Construction Status" dataDxfId="131"/>
    <tableColumn id="21" xr3:uid="{3B67159F-AA46-4F73-BAC7-FAB91AB011E8}" name="Construction Start Date" dataDxfId="130"/>
    <tableColumn id="22" xr3:uid="{B562C6F8-FAE1-42B9-91DA-D1A07E1D9943}" name="Site capacity" dataDxfId="129"/>
    <tableColumn id="23" xr3:uid="{49FA80DE-C661-4B3F-BA08-B1AA1DBDBF3D}" name="Units to build" dataDxfId="128"/>
    <tableColumn id="24" xr3:uid="{11F79550-6B86-4102-9416-E091E86E5964}" name="Plots completed in survey year" dataDxfId="127"/>
    <tableColumn id="25" xr3:uid="{72287AE3-4484-4BBB-A5A1-9B6441A4B430}" name="Total completions" dataDxfId="126"/>
    <tableColumn id="26" xr3:uid="{02154EF0-00AA-4807-9279-65FD751839B0}" name="Programmed Y1" dataDxfId="125"/>
    <tableColumn id="27" xr3:uid="{C5E8E7B7-C361-40A3-AF3F-54E516AB2012}" name="Programmed Y2" dataDxfId="124"/>
    <tableColumn id="28" xr3:uid="{5E377185-B221-4541-892B-1F085CDEEDDE}" name="Programmed Y3" dataDxfId="123"/>
    <tableColumn id="29" xr3:uid="{6209CD5F-469C-4883-AB7D-1226078075B0}" name="Programmed Y4" dataDxfId="122"/>
    <tableColumn id="30" xr3:uid="{6E688F31-B182-4DC4-A8FE-7F7F1A9F14C6}" name="Programmed Y5" dataDxfId="121"/>
    <tableColumn id="31" xr3:uid="{1F272314-4987-4449-8F3C-903AC8FC4AF3}" name="Programmed Y6" dataDxfId="120"/>
    <tableColumn id="32" xr3:uid="{6DE9FB89-AB2E-4EC7-B719-96BCC8218DAE}" name="Programmed Y7" dataDxfId="119"/>
    <tableColumn id="33" xr3:uid="{B6C4B469-F6A1-4BB9-AB34-AE8E70A7F33D}" name="Programmed Y8" dataDxfId="118"/>
    <tableColumn id="34" xr3:uid="{B41511CA-E178-471C-B67D-F388BDFEC45C}" name="Programmed Y9" dataDxfId="117"/>
    <tableColumn id="35" xr3:uid="{4FF21F93-BFE1-44B9-9034-AA154DE7F733}" name="Programmed Y10" dataDxfId="116"/>
    <tableColumn id="36" xr3:uid="{AF918ED6-9252-4528-AE3D-B028DE1C963E}" name="Later Years" dataDxfId="115"/>
    <tableColumn id="37" xr3:uid="{17967107-7459-43A3-AEA1-7ADEFA890301}" name="Total Programmed" dataDxfId="114"/>
    <tableColumn id="38" xr3:uid="{F90A7738-78C9-4528-9225-E1BEDEE765C4}" name="Pipeline Timeframe" dataDxfId="113"/>
    <tableColumn id="39" xr3:uid="{76ECE355-9126-4D11-A0B9-1A5015CB4CC5}" name="Market/ Affordable/ Mixed" dataDxfId="112"/>
    <tableColumn id="40" xr3:uid="{7D89215B-54F3-4629-A90F-B54603AB1E96}" name="Number Market" dataDxfId="111"/>
    <tableColumn id="41" xr3:uid="{1D3621CF-928E-4043-973E-B437F0EC7888}" name="Number Affordable" dataDxfId="110"/>
    <tableColumn id="42" xr3:uid="{CFBC1CCD-82C1-49C4-AB96-CE953E5E2C58}" name="No of flats" dataDxfId="109"/>
    <tableColumn id="43" xr3:uid="{6DC42D40-72C0-4A4E-A19E-A3B30A160D5D}" name="No of houses" dataDxfId="108"/>
    <tableColumn id="44" xr3:uid="{227E333B-7793-4B9B-A42B-D19F1A87A6DD}" name="Effective/ Constrained/ Small" dataDxfId="107"/>
    <tableColumn id="45" xr3:uid="{9023B345-078C-4318-ADD5-2921DA6D0801}" name="Deliverability Status" dataDxfId="106"/>
    <tableColumn id="46" xr3:uid="{32FCB63E-30DA-4C3E-BC27-644705F2BA76}" name="Action Required" dataDxfId="105"/>
    <tableColumn id="47" xr3:uid="{7F54D45D-8D45-468B-B4E1-2CDBEC870189}" name="Owner" dataDxfId="104"/>
    <tableColumn id="48" xr3:uid="{8B1668AE-F38D-4506-941F-04B4C8A4C56A}" name="Developer" dataDxfId="103"/>
    <tableColumn id="49" xr3:uid="{9FBBF2B2-37DC-41FC-BF13-D5E7C4612ADD}" name="Greenfield/ Brownfield" dataDxfId="102"/>
    <tableColumn id="50" xr3:uid="{758B3527-4498-4911-9A0D-3B5F0CA97C00}" name="VDL Site" dataDxfId="101"/>
    <tableColumn id="51" xr3:uid="{FBCEF7F6-EA74-4B4D-BD29-DCACA144E5C0}" name="Self Build" dataDxfId="100"/>
    <tableColumn id="52" xr3:uid="{22F120F3-B347-47C0-BD08-35C0E1F2399B}" name="Dispute" dataDxfId="99"/>
    <tableColumn id="53" xr3:uid="{E8090E10-C896-4FA4-97A3-E4040D68114A}" name="Demolition Information" dataDxfId="98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4F3CE27-1910-4E6C-86EE-B3B7B27BC7CA}" name="Table2" displayName="Table2" ref="A2:AV20" totalsRowCount="1" headerRowDxfId="97" dataDxfId="96" headerRowCellStyle="STYLE0">
  <autoFilter ref="A2:AV19" xr:uid="{64F3CE27-1910-4E6C-86EE-B3B7B27BC7CA}">
    <filterColumn colId="38">
      <filters>
        <filter val="Small"/>
      </filters>
    </filterColumn>
  </autoFilter>
  <tableColumns count="48">
    <tableColumn id="1" xr3:uid="{556C62E5-0BE6-4F5F-B31F-288A8001B741}" name="Site reference" dataDxfId="94" totalsRowDxfId="95"/>
    <tableColumn id="2" xr3:uid="{4872B364-0793-44FB-95E5-7185B9F5DD3E}" name="Site Name" dataDxfId="92" totalsRowDxfId="93"/>
    <tableColumn id="3" xr3:uid="{48F2DB6E-EDA5-4F00-9F8F-90C2E851024E}" name="LDP2019 reference" dataDxfId="90" totalsRowDxfId="91"/>
    <tableColumn id="4" xr3:uid="{1A801637-C6A0-42A3-9FF4-07E8F93E7471}" name="Site Address" dataDxfId="88" totalsRowDxfId="89"/>
    <tableColumn id="5" xr3:uid="{7658F531-1524-498F-AEC5-976C4FE24E5D}" name="UPRN" dataDxfId="86" totalsRowDxfId="87"/>
    <tableColumn id="6" xr3:uid="{968D4978-CBFF-4FEC-8677-AD06DE858C02}" name="Easting" dataDxfId="84" totalsRowDxfId="85"/>
    <tableColumn id="7" xr3:uid="{4C162C26-E02D-439D-9382-65C6B12A69EB}" name="Northing" dataDxfId="82" totalsRowDxfId="83"/>
    <tableColumn id="8" xr3:uid="{F8C89840-EEBB-4383-BCF1-29E5550F248D}" name="Site area (ha)" dataDxfId="80" totalsRowDxfId="81"/>
    <tableColumn id="9" xr3:uid="{A886B31D-BE9A-4D12-9055-F25F0133DF07}" name="Year site added" dataDxfId="78" totalsRowDxfId="79"/>
    <tableColumn id="10" xr3:uid="{D2DF34CE-74DF-48A4-AED3-983AB9195F5F}" name="LDP/ Windfall/ Other" dataDxfId="76" totalsRowDxfId="77"/>
    <tableColumn id="11" xr3:uid="{B528C7CD-7702-4BFB-A2A9-87EF88EA073F}" name="Planning Status" dataDxfId="74" totalsRowDxfId="75"/>
    <tableColumn id="12" xr3:uid="{4FB5DEBD-48BD-4BCC-914A-01084295290E}" name="Other Detail" dataDxfId="72" totalsRowDxfId="73"/>
    <tableColumn id="13" xr3:uid="{3B8022F4-DB9D-449B-AA06-0EE9520A7EB3}" name="Planning application reference" dataDxfId="70" totalsRowDxfId="71"/>
    <tableColumn id="14" xr3:uid="{0370962C-56FA-4589-8E46-61DCFB5D9BF4}" name="Last planning approval date" dataDxfId="68" totalsRowDxfId="69"/>
    <tableColumn id="20" xr3:uid="{C059EF13-BD11-451B-9DD5-7AE59314E091}" name="Construction Status" dataDxfId="66" totalsRowDxfId="67"/>
    <tableColumn id="21" xr3:uid="{D5591B62-F740-46AB-A5F1-3F3E205511A1}" name="Construction Start Date" dataDxfId="64" totalsRowDxfId="65"/>
    <tableColumn id="22" xr3:uid="{3A1482D1-817B-4D94-92E5-84344ECB994C}" name="Site capacity" totalsRowFunction="sum" dataDxfId="62" totalsRowDxfId="63"/>
    <tableColumn id="23" xr3:uid="{77FF671A-EFE5-4937-BB66-C5FD618287D3}" name="Units to build" totalsRowFunction="sum" dataDxfId="60" totalsRowDxfId="61"/>
    <tableColumn id="24" xr3:uid="{C6576DB7-D36A-48E3-8A0F-31F226F6A1B4}" name="Plots completed in survey year" totalsRowFunction="sum" dataDxfId="58" totalsRowDxfId="59"/>
    <tableColumn id="25" xr3:uid="{EF154958-B782-4B74-A1F0-D0B4273BD9EC}" name="Total completions" totalsRowFunction="sum" dataDxfId="56" totalsRowDxfId="57"/>
    <tableColumn id="26" xr3:uid="{B9C93D6C-AA32-4285-9986-66D21A68296D}" name="Programmed Y1" dataDxfId="54" totalsRowDxfId="55"/>
    <tableColumn id="27" xr3:uid="{CDA26B38-F379-4E31-AA17-3CBA9B1C759D}" name="Programmed Y2" dataDxfId="52" totalsRowDxfId="53"/>
    <tableColumn id="28" xr3:uid="{7B8544D6-9BE1-44CB-8F52-AC918E170766}" name="Programmed Y3" dataDxfId="50" totalsRowDxfId="51"/>
    <tableColumn id="29" xr3:uid="{0E7E9E7D-8C90-4EFE-83B7-C0DBD1D75860}" name="Programmed Y4" dataDxfId="48" totalsRowDxfId="49"/>
    <tableColumn id="30" xr3:uid="{21C61E59-6DFD-4045-9817-6C8FDE18F012}" name="Programmed Y5" dataDxfId="46" totalsRowDxfId="47"/>
    <tableColumn id="31" xr3:uid="{82743D5F-AD6D-4F5C-8208-4C9D2C0BC4EE}" name="Programmed Y6" dataDxfId="44" totalsRowDxfId="45"/>
    <tableColumn id="32" xr3:uid="{75B01E3D-ED6F-4ABB-A1C6-6612DB37397B}" name="Programmed Y7" dataDxfId="42" totalsRowDxfId="43"/>
    <tableColumn id="33" xr3:uid="{5452632E-D5AC-4224-8760-88C37A91DA39}" name="Programmed Y8" dataDxfId="40" totalsRowDxfId="41"/>
    <tableColumn id="34" xr3:uid="{4C1D015E-C453-4E0D-8241-AE3E65A27B01}" name="Programmed Y9" dataDxfId="38" totalsRowDxfId="39"/>
    <tableColumn id="35" xr3:uid="{E24B3DA6-BB41-45F0-9E01-3D543EEC1E54}" name="Programmed Y10" dataDxfId="36" totalsRowDxfId="37"/>
    <tableColumn id="36" xr3:uid="{37FBB88C-8402-47D7-8BD2-981B7ADD5FAF}" name="Later Years" dataDxfId="34" totalsRowDxfId="35"/>
    <tableColumn id="37" xr3:uid="{08EA74AF-FA32-47C1-A8B3-9EF0F3BC3F7E}" name="Total Programmed" dataDxfId="32" totalsRowDxfId="33">
      <calculatedColumnFormula>SUM(Table2[[#This Row],[Programmed Y1]:[Later Years]])</calculatedColumnFormula>
    </tableColumn>
    <tableColumn id="38" xr3:uid="{EDCE618E-89BC-4867-8445-6DA3459BF2A4}" name="Pipeline Timeframe" dataDxfId="30" totalsRowDxfId="31"/>
    <tableColumn id="39" xr3:uid="{58517B63-4ADB-45CB-BC13-F7963A4D8969}" name="Market/ Affordable/ Mixed" dataDxfId="28" totalsRowDxfId="29"/>
    <tableColumn id="40" xr3:uid="{5AAE187D-ACAC-4C16-B764-B4872874D07C}" name="Number Market" dataDxfId="26" totalsRowDxfId="27"/>
    <tableColumn id="41" xr3:uid="{D3BE80F1-F393-4598-A756-68CD08E1231F}" name="Number Affordable" dataDxfId="24" totalsRowDxfId="25"/>
    <tableColumn id="42" xr3:uid="{178D81A2-4F69-4E37-BEE2-63042A117AD0}" name="No of flats" dataDxfId="22" totalsRowDxfId="23"/>
    <tableColumn id="43" xr3:uid="{8C708A84-9EA7-41A0-9F79-A49D0B9A8821}" name="No of houses" dataDxfId="20" totalsRowDxfId="21"/>
    <tableColumn id="44" xr3:uid="{34B1AF65-8B07-4E4D-818A-DE76558E4646}" name="Effective/ Constrained/ Small" dataDxfId="18" totalsRowDxfId="19"/>
    <tableColumn id="45" xr3:uid="{ACA35970-CFFF-400E-9C46-7CA811DA1C66}" name="Deliverability Status" dataDxfId="16" totalsRowDxfId="17"/>
    <tableColumn id="46" xr3:uid="{7E250A71-9633-4443-AA4A-1ED6B5C92405}" name="Action Required" dataDxfId="14" totalsRowDxfId="15"/>
    <tableColumn id="47" xr3:uid="{CBC1C623-436D-4BB3-AC23-3DED2DD36173}" name="Owner" dataDxfId="12" totalsRowDxfId="13"/>
    <tableColumn id="48" xr3:uid="{19EEFDF6-0224-4AA9-B794-26F9E3A60E8B}" name="Developer" dataDxfId="10" totalsRowDxfId="11"/>
    <tableColumn id="49" xr3:uid="{182C67B9-2A65-474A-BFE8-8DF083C0AE71}" name="Greenfield/ Brownfield" dataDxfId="8" totalsRowDxfId="9"/>
    <tableColumn id="50" xr3:uid="{5754A38D-F725-4C13-A6CC-83D7E7D18730}" name="VDL Site" dataDxfId="6" totalsRowDxfId="7"/>
    <tableColumn id="51" xr3:uid="{2EC4B68C-120A-4637-8523-A439C85EFE85}" name="Self Build" dataDxfId="4" totalsRowDxfId="5"/>
    <tableColumn id="52" xr3:uid="{8FC7DAE2-D70F-4167-9ABD-238CBDA04A4D}" name="Dispute" dataDxfId="2" totalsRowDxfId="3"/>
    <tableColumn id="53" xr3:uid="{9D8BE57D-F105-4B10-9F4D-840646578B39}" name="Demolition Information" dataDxfId="0" totalsRowDxfId="1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3"/>
  <sheetViews>
    <sheetView zoomScale="70" zoomScaleNormal="70" workbookViewId="0">
      <pane xSplit="2" ySplit="2" topLeftCell="AU3" activePane="bottomRight" state="frozen"/>
      <selection pane="bottomRight" activeCell="AW1" sqref="AW1:AX1048576"/>
      <selection pane="bottomLeft" activeCell="A3" sqref="A3"/>
      <selection pane="topRight" activeCell="C1" sqref="C1"/>
    </sheetView>
  </sheetViews>
  <sheetFormatPr defaultColWidth="29.85546875" defaultRowHeight="15" customHeight="1"/>
  <cols>
    <col min="1" max="1" width="12.42578125" style="3" customWidth="1"/>
    <col min="2" max="2" width="27" style="3" customWidth="1"/>
    <col min="3" max="3" width="12.7109375" style="2" customWidth="1"/>
    <col min="4" max="4" width="42.140625" style="3" customWidth="1"/>
    <col min="5" max="5" width="16" style="3" customWidth="1"/>
    <col min="6" max="6" width="13.85546875" style="3" bestFit="1" customWidth="1"/>
    <col min="7" max="7" width="11.42578125" style="4" customWidth="1"/>
    <col min="8" max="8" width="12.140625" style="1" customWidth="1"/>
    <col min="9" max="9" width="12.28515625" style="1" customWidth="1"/>
    <col min="10" max="10" width="13.5703125" style="2" customWidth="1"/>
    <col min="11" max="11" width="18.5703125" style="1" customWidth="1"/>
    <col min="12" max="12" width="14.85546875" style="1" bestFit="1" customWidth="1"/>
    <col min="13" max="13" width="25.42578125" style="2" customWidth="1"/>
    <col min="14" max="14" width="18.5703125" style="3" customWidth="1"/>
    <col min="15" max="15" width="18.140625" style="3" customWidth="1"/>
    <col min="16" max="16" width="14.140625" style="3" customWidth="1"/>
    <col min="17" max="17" width="12.140625" style="3" customWidth="1"/>
    <col min="18" max="27" width="13.5703125" style="3" customWidth="1"/>
    <col min="28" max="28" width="13.5703125" style="1" customWidth="1"/>
    <col min="29" max="29" width="14.5703125" style="1" customWidth="1"/>
    <col min="30" max="30" width="15.5703125" style="3" customWidth="1"/>
    <col min="31" max="31" width="13.28515625" style="1" customWidth="1"/>
    <col min="32" max="32" width="18" style="1" customWidth="1"/>
    <col min="33" max="33" width="18.42578125" style="3" customWidth="1"/>
    <col min="34" max="34" width="13.140625" style="3" bestFit="1" customWidth="1"/>
    <col min="35" max="35" width="15.140625" style="1" bestFit="1" customWidth="1"/>
    <col min="36" max="36" width="17.7109375" style="1" bestFit="1" customWidth="1"/>
    <col min="37" max="37" width="9.42578125" style="1" customWidth="1"/>
    <col min="38" max="38" width="9.140625" style="1" customWidth="1"/>
    <col min="39" max="39" width="14.28515625" style="3" customWidth="1"/>
    <col min="40" max="40" width="14" style="1" customWidth="1"/>
    <col min="41" max="42" width="29.5703125" style="1" bestFit="1" customWidth="1"/>
    <col min="43" max="43" width="23.7109375" style="1" customWidth="1"/>
    <col min="44" max="44" width="18" style="1" customWidth="1"/>
    <col min="45" max="45" width="14.85546875" style="1" customWidth="1"/>
    <col min="46" max="46" width="16.85546875" style="1" customWidth="1"/>
    <col min="47" max="47" width="30.7109375" style="1" customWidth="1"/>
    <col min="48" max="48" width="57.5703125" style="1" customWidth="1"/>
    <col min="49" max="16384" width="29.85546875" style="1"/>
  </cols>
  <sheetData>
    <row r="1" spans="1:48" ht="54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</row>
    <row r="2" spans="1:48" ht="46.5">
      <c r="A2" s="8" t="s">
        <v>1</v>
      </c>
      <c r="B2" s="17" t="s">
        <v>2</v>
      </c>
      <c r="C2" s="16" t="s">
        <v>3</v>
      </c>
      <c r="D2" s="17" t="s">
        <v>4</v>
      </c>
      <c r="E2" s="17" t="s">
        <v>5</v>
      </c>
      <c r="F2" s="16" t="s">
        <v>6</v>
      </c>
      <c r="G2" s="16" t="s">
        <v>7</v>
      </c>
      <c r="H2" s="18" t="s">
        <v>8</v>
      </c>
      <c r="I2" s="19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9" t="s">
        <v>14</v>
      </c>
      <c r="O2" s="17" t="s">
        <v>15</v>
      </c>
      <c r="P2" s="19" t="s">
        <v>16</v>
      </c>
      <c r="Q2" s="16" t="s">
        <v>17</v>
      </c>
      <c r="R2" s="16" t="s">
        <v>18</v>
      </c>
      <c r="S2" s="16" t="s">
        <v>19</v>
      </c>
      <c r="T2" s="16" t="s">
        <v>20</v>
      </c>
      <c r="U2" s="47" t="s">
        <v>21</v>
      </c>
      <c r="V2" s="20" t="s">
        <v>22</v>
      </c>
      <c r="W2" s="20" t="s">
        <v>23</v>
      </c>
      <c r="X2" s="20" t="s">
        <v>24</v>
      </c>
      <c r="Y2" s="20" t="s">
        <v>25</v>
      </c>
      <c r="Z2" s="20" t="s">
        <v>26</v>
      </c>
      <c r="AA2" s="20" t="s">
        <v>27</v>
      </c>
      <c r="AB2" s="20" t="s">
        <v>28</v>
      </c>
      <c r="AC2" s="20" t="s">
        <v>29</v>
      </c>
      <c r="AD2" s="20" t="s">
        <v>30</v>
      </c>
      <c r="AE2" s="20" t="s">
        <v>31</v>
      </c>
      <c r="AF2" s="21" t="s">
        <v>32</v>
      </c>
      <c r="AG2" s="17" t="s">
        <v>33</v>
      </c>
      <c r="AH2" s="17" t="s">
        <v>34</v>
      </c>
      <c r="AI2" s="16" t="s">
        <v>35</v>
      </c>
      <c r="AJ2" s="16" t="s">
        <v>36</v>
      </c>
      <c r="AK2" s="16" t="s">
        <v>37</v>
      </c>
      <c r="AL2" s="16" t="s">
        <v>38</v>
      </c>
      <c r="AM2" s="17" t="s">
        <v>39</v>
      </c>
      <c r="AN2" s="17" t="s">
        <v>40</v>
      </c>
      <c r="AO2" s="17" t="s">
        <v>41</v>
      </c>
      <c r="AP2" s="17" t="s">
        <v>42</v>
      </c>
      <c r="AQ2" s="17" t="s">
        <v>43</v>
      </c>
      <c r="AR2" s="16" t="s">
        <v>44</v>
      </c>
      <c r="AS2" s="16" t="s">
        <v>45</v>
      </c>
      <c r="AT2" s="17" t="s">
        <v>46</v>
      </c>
      <c r="AU2" s="17" t="s">
        <v>47</v>
      </c>
      <c r="AV2" s="17" t="s">
        <v>48</v>
      </c>
    </row>
    <row r="3" spans="1:48" ht="101.45">
      <c r="A3" s="15" t="s">
        <v>49</v>
      </c>
      <c r="B3" s="22" t="s">
        <v>50</v>
      </c>
      <c r="C3" s="23"/>
      <c r="D3" s="22" t="s">
        <v>51</v>
      </c>
      <c r="E3" s="22" t="s">
        <v>52</v>
      </c>
      <c r="F3" s="23">
        <v>334131</v>
      </c>
      <c r="G3" s="23">
        <v>731821</v>
      </c>
      <c r="H3" s="24">
        <v>19.341745555421038</v>
      </c>
      <c r="I3" s="25">
        <v>42440</v>
      </c>
      <c r="J3" s="22" t="s">
        <v>53</v>
      </c>
      <c r="K3" s="22" t="s">
        <v>54</v>
      </c>
      <c r="L3" s="22"/>
      <c r="M3" s="22" t="s">
        <v>55</v>
      </c>
      <c r="N3" s="25">
        <v>45551</v>
      </c>
      <c r="O3" s="22" t="s">
        <v>56</v>
      </c>
      <c r="P3" s="25">
        <v>42795</v>
      </c>
      <c r="Q3" s="23">
        <v>341</v>
      </c>
      <c r="R3" s="23">
        <v>64</v>
      </c>
      <c r="S3" s="23">
        <v>11</v>
      </c>
      <c r="T3" s="23">
        <v>277</v>
      </c>
      <c r="U3" s="51">
        <v>0</v>
      </c>
      <c r="V3" s="51">
        <v>24</v>
      </c>
      <c r="W3" s="51">
        <v>24</v>
      </c>
      <c r="X3" s="51">
        <v>16</v>
      </c>
      <c r="Y3" s="51">
        <v>0</v>
      </c>
      <c r="Z3" s="51">
        <v>0</v>
      </c>
      <c r="AA3" s="51">
        <v>0</v>
      </c>
      <c r="AB3" s="51">
        <v>0</v>
      </c>
      <c r="AC3" s="51">
        <v>0</v>
      </c>
      <c r="AD3" s="51">
        <v>0</v>
      </c>
      <c r="AE3" s="51">
        <v>0</v>
      </c>
      <c r="AF3" s="51">
        <f>SUM(Table1[[#This Row],[Programmed Y1 (26-27)]:[Later Years]])</f>
        <v>64</v>
      </c>
      <c r="AG3" s="22" t="s">
        <v>57</v>
      </c>
      <c r="AH3" s="22" t="s">
        <v>58</v>
      </c>
      <c r="AI3" s="23">
        <v>76</v>
      </c>
      <c r="AJ3" s="23">
        <v>0</v>
      </c>
      <c r="AK3" s="23">
        <v>58</v>
      </c>
      <c r="AL3" s="23">
        <v>274</v>
      </c>
      <c r="AM3" s="22" t="s">
        <v>59</v>
      </c>
      <c r="AN3" s="22" t="s">
        <v>60</v>
      </c>
      <c r="AO3" s="22"/>
      <c r="AP3" s="22" t="s">
        <v>61</v>
      </c>
      <c r="AQ3" s="22" t="s">
        <v>61</v>
      </c>
      <c r="AR3" s="23" t="s">
        <v>62</v>
      </c>
      <c r="AS3" s="23" t="s">
        <v>63</v>
      </c>
      <c r="AT3" s="22" t="s">
        <v>63</v>
      </c>
      <c r="AU3" s="22"/>
      <c r="AV3" s="22"/>
    </row>
    <row r="4" spans="1:48" ht="57.95">
      <c r="A4" s="15" t="s">
        <v>64</v>
      </c>
      <c r="B4" s="22" t="s">
        <v>65</v>
      </c>
      <c r="C4" s="23"/>
      <c r="D4" s="22" t="s">
        <v>66</v>
      </c>
      <c r="E4" s="22" t="s">
        <v>67</v>
      </c>
      <c r="F4" s="23">
        <v>334038</v>
      </c>
      <c r="G4" s="23">
        <v>731320</v>
      </c>
      <c r="H4" s="24">
        <v>24.331203730169999</v>
      </c>
      <c r="I4" s="25">
        <v>42158</v>
      </c>
      <c r="J4" s="22" t="s">
        <v>53</v>
      </c>
      <c r="K4" s="22" t="s">
        <v>54</v>
      </c>
      <c r="L4" s="22" t="s">
        <v>68</v>
      </c>
      <c r="M4" s="22" t="s">
        <v>69</v>
      </c>
      <c r="N4" s="25">
        <v>42935</v>
      </c>
      <c r="O4" s="22" t="s">
        <v>56</v>
      </c>
      <c r="P4" s="25">
        <v>42205</v>
      </c>
      <c r="Q4" s="23">
        <v>230</v>
      </c>
      <c r="R4" s="23">
        <v>41</v>
      </c>
      <c r="S4" s="23">
        <v>10</v>
      </c>
      <c r="T4" s="23">
        <v>189</v>
      </c>
      <c r="U4" s="51">
        <v>0</v>
      </c>
      <c r="V4" s="51">
        <v>0</v>
      </c>
      <c r="W4" s="51">
        <v>14</v>
      </c>
      <c r="X4" s="51">
        <v>14</v>
      </c>
      <c r="Y4" s="51">
        <v>13</v>
      </c>
      <c r="Z4" s="51">
        <v>0</v>
      </c>
      <c r="AA4" s="51">
        <v>0</v>
      </c>
      <c r="AB4" s="51">
        <v>0</v>
      </c>
      <c r="AC4" s="51">
        <v>0</v>
      </c>
      <c r="AD4" s="51">
        <v>0</v>
      </c>
      <c r="AE4" s="51">
        <v>0</v>
      </c>
      <c r="AF4" s="51">
        <f>SUM(Table1[[#This Row],[Programmed Y1 (26-27)]:[Later Years]])</f>
        <v>41</v>
      </c>
      <c r="AG4" s="22" t="s">
        <v>70</v>
      </c>
      <c r="AH4" s="22" t="s">
        <v>58</v>
      </c>
      <c r="AI4" s="23">
        <v>78</v>
      </c>
      <c r="AJ4" s="23">
        <v>0</v>
      </c>
      <c r="AK4" s="23">
        <v>0</v>
      </c>
      <c r="AL4" s="23">
        <v>189</v>
      </c>
      <c r="AM4" s="22" t="s">
        <v>59</v>
      </c>
      <c r="AN4" s="22" t="s">
        <v>60</v>
      </c>
      <c r="AO4" s="22"/>
      <c r="AP4" s="22" t="s">
        <v>61</v>
      </c>
      <c r="AQ4" s="22" t="s">
        <v>61</v>
      </c>
      <c r="AR4" s="23" t="s">
        <v>62</v>
      </c>
      <c r="AS4" s="23" t="s">
        <v>63</v>
      </c>
      <c r="AT4" s="22" t="s">
        <v>63</v>
      </c>
      <c r="AU4" s="22"/>
      <c r="AV4" s="22"/>
    </row>
    <row r="5" spans="1:48" ht="72.599999999999994">
      <c r="A5" s="15" t="s">
        <v>71</v>
      </c>
      <c r="B5" s="22" t="s">
        <v>72</v>
      </c>
      <c r="C5" s="23"/>
      <c r="D5" s="22" t="s">
        <v>73</v>
      </c>
      <c r="E5" s="22" t="s">
        <v>74</v>
      </c>
      <c r="F5" s="23">
        <v>334379</v>
      </c>
      <c r="G5" s="23">
        <v>732314</v>
      </c>
      <c r="H5" s="24">
        <v>7.8207074312694456</v>
      </c>
      <c r="I5" s="25">
        <v>42538</v>
      </c>
      <c r="J5" s="22" t="s">
        <v>53</v>
      </c>
      <c r="K5" s="22" t="s">
        <v>54</v>
      </c>
      <c r="L5" s="22"/>
      <c r="M5" s="22" t="s">
        <v>75</v>
      </c>
      <c r="N5" s="25">
        <v>43502</v>
      </c>
      <c r="O5" s="22" t="s">
        <v>56</v>
      </c>
      <c r="P5" s="25">
        <v>43676</v>
      </c>
      <c r="Q5" s="23">
        <v>100</v>
      </c>
      <c r="R5" s="23">
        <v>100</v>
      </c>
      <c r="S5" s="23">
        <v>0</v>
      </c>
      <c r="T5" s="23">
        <v>0</v>
      </c>
      <c r="U5" s="51">
        <v>0</v>
      </c>
      <c r="V5" s="51">
        <v>9</v>
      </c>
      <c r="W5" s="51">
        <v>28</v>
      </c>
      <c r="X5" s="51">
        <v>28</v>
      </c>
      <c r="Y5" s="51">
        <v>28</v>
      </c>
      <c r="Z5" s="51">
        <v>7</v>
      </c>
      <c r="AA5" s="51">
        <v>0</v>
      </c>
      <c r="AB5" s="51">
        <v>0</v>
      </c>
      <c r="AC5" s="51">
        <v>0</v>
      </c>
      <c r="AD5" s="51">
        <v>0</v>
      </c>
      <c r="AE5" s="51">
        <v>0</v>
      </c>
      <c r="AF5" s="51">
        <f>SUM(Table1[[#This Row],[Programmed Y1 (26-27)]:[Later Years]])</f>
        <v>100</v>
      </c>
      <c r="AG5" s="22" t="s">
        <v>70</v>
      </c>
      <c r="AH5" s="22" t="s">
        <v>58</v>
      </c>
      <c r="AI5" s="23">
        <v>100</v>
      </c>
      <c r="AJ5" s="23">
        <v>0</v>
      </c>
      <c r="AK5" s="23">
        <v>0</v>
      </c>
      <c r="AL5" s="23">
        <v>100</v>
      </c>
      <c r="AM5" s="22" t="s">
        <v>59</v>
      </c>
      <c r="AN5" s="22" t="s">
        <v>60</v>
      </c>
      <c r="AO5" s="22"/>
      <c r="AP5" s="22" t="s">
        <v>76</v>
      </c>
      <c r="AQ5" s="22" t="s">
        <v>76</v>
      </c>
      <c r="AR5" s="23" t="s">
        <v>62</v>
      </c>
      <c r="AS5" s="23" t="s">
        <v>63</v>
      </c>
      <c r="AT5" s="22" t="s">
        <v>63</v>
      </c>
      <c r="AU5" s="22"/>
      <c r="AV5" s="22"/>
    </row>
    <row r="6" spans="1:48" ht="29.1">
      <c r="A6" s="15" t="s">
        <v>77</v>
      </c>
      <c r="B6" s="22" t="s">
        <v>78</v>
      </c>
      <c r="C6" s="23"/>
      <c r="D6" s="22" t="s">
        <v>79</v>
      </c>
      <c r="E6" s="22" t="s">
        <v>80</v>
      </c>
      <c r="F6" s="23">
        <v>345078</v>
      </c>
      <c r="G6" s="23">
        <v>733464</v>
      </c>
      <c r="H6" s="24">
        <v>1.0006979107997671</v>
      </c>
      <c r="I6" s="25">
        <v>42571</v>
      </c>
      <c r="J6" s="22" t="s">
        <v>53</v>
      </c>
      <c r="K6" s="22" t="s">
        <v>54</v>
      </c>
      <c r="L6" s="22" t="s">
        <v>68</v>
      </c>
      <c r="M6" s="22" t="s">
        <v>81</v>
      </c>
      <c r="N6" s="25">
        <v>42571</v>
      </c>
      <c r="O6" s="22" t="s">
        <v>56</v>
      </c>
      <c r="P6" s="25">
        <v>45152</v>
      </c>
      <c r="Q6" s="23">
        <v>6</v>
      </c>
      <c r="R6" s="23">
        <v>2</v>
      </c>
      <c r="S6" s="23">
        <v>4</v>
      </c>
      <c r="T6" s="23">
        <v>4</v>
      </c>
      <c r="U6" s="51">
        <v>2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1">
        <v>0</v>
      </c>
      <c r="AC6" s="51">
        <v>0</v>
      </c>
      <c r="AD6" s="51">
        <v>0</v>
      </c>
      <c r="AE6" s="51">
        <v>0</v>
      </c>
      <c r="AF6" s="51">
        <f>SUM(Table1[[#This Row],[Programmed Y1 (26-27)]:[Later Years]])</f>
        <v>2</v>
      </c>
      <c r="AG6" s="22" t="s">
        <v>57</v>
      </c>
      <c r="AH6" s="22" t="s">
        <v>58</v>
      </c>
      <c r="AI6" s="23">
        <v>6</v>
      </c>
      <c r="AJ6" s="23">
        <v>0</v>
      </c>
      <c r="AK6" s="23">
        <v>0</v>
      </c>
      <c r="AL6" s="23">
        <v>6</v>
      </c>
      <c r="AM6" s="22" t="s">
        <v>59</v>
      </c>
      <c r="AN6" s="22" t="s">
        <v>60</v>
      </c>
      <c r="AO6" s="22"/>
      <c r="AP6" s="22" t="s">
        <v>82</v>
      </c>
      <c r="AQ6" s="22" t="s">
        <v>82</v>
      </c>
      <c r="AR6" s="23" t="s">
        <v>62</v>
      </c>
      <c r="AS6" s="23" t="s">
        <v>63</v>
      </c>
      <c r="AT6" s="22" t="s">
        <v>63</v>
      </c>
      <c r="AU6" s="22"/>
      <c r="AV6" s="22"/>
    </row>
    <row r="7" spans="1:48" ht="29.1">
      <c r="A7" s="15" t="s">
        <v>83</v>
      </c>
      <c r="B7" s="22" t="s">
        <v>84</v>
      </c>
      <c r="C7" s="23" t="s">
        <v>85</v>
      </c>
      <c r="D7" s="22" t="s">
        <v>86</v>
      </c>
      <c r="E7" s="22" t="s">
        <v>87</v>
      </c>
      <c r="F7" s="23">
        <v>334219</v>
      </c>
      <c r="G7" s="23">
        <v>732498</v>
      </c>
      <c r="H7" s="24">
        <v>3.2797437301657779</v>
      </c>
      <c r="I7" s="25">
        <v>43191</v>
      </c>
      <c r="J7" s="22" t="s">
        <v>88</v>
      </c>
      <c r="K7" s="22" t="s">
        <v>89</v>
      </c>
      <c r="L7" s="22" t="s">
        <v>68</v>
      </c>
      <c r="M7" s="22" t="s">
        <v>90</v>
      </c>
      <c r="N7" s="25">
        <v>45335</v>
      </c>
      <c r="O7" s="22" t="s">
        <v>91</v>
      </c>
      <c r="P7" s="25"/>
      <c r="Q7" s="23">
        <v>30</v>
      </c>
      <c r="R7" s="23">
        <v>30</v>
      </c>
      <c r="S7" s="23">
        <v>0</v>
      </c>
      <c r="T7" s="23">
        <v>0</v>
      </c>
      <c r="U7" s="51">
        <v>0</v>
      </c>
      <c r="V7" s="51">
        <v>0</v>
      </c>
      <c r="W7" s="51">
        <v>0</v>
      </c>
      <c r="X7" s="51">
        <v>30</v>
      </c>
      <c r="Y7" s="51">
        <v>0</v>
      </c>
      <c r="Z7" s="51">
        <v>0</v>
      </c>
      <c r="AA7" s="51">
        <v>0</v>
      </c>
      <c r="AB7" s="51">
        <v>0</v>
      </c>
      <c r="AC7" s="51">
        <v>0</v>
      </c>
      <c r="AD7" s="51">
        <v>0</v>
      </c>
      <c r="AE7" s="51">
        <v>0</v>
      </c>
      <c r="AF7" s="51">
        <f>SUM(Table1[[#This Row],[Programmed Y1 (26-27)]:[Later Years]])</f>
        <v>30</v>
      </c>
      <c r="AG7" s="22" t="s">
        <v>70</v>
      </c>
      <c r="AH7" s="22" t="s">
        <v>58</v>
      </c>
      <c r="AI7" s="23">
        <v>30</v>
      </c>
      <c r="AJ7" s="23">
        <v>0</v>
      </c>
      <c r="AK7" s="23">
        <v>0</v>
      </c>
      <c r="AL7" s="23">
        <v>30</v>
      </c>
      <c r="AM7" s="22" t="s">
        <v>59</v>
      </c>
      <c r="AN7" s="22" t="s">
        <v>60</v>
      </c>
      <c r="AO7" s="22"/>
      <c r="AP7" s="22" t="s">
        <v>92</v>
      </c>
      <c r="AQ7" s="22" t="s">
        <v>92</v>
      </c>
      <c r="AR7" s="23" t="s">
        <v>62</v>
      </c>
      <c r="AS7" s="23" t="s">
        <v>63</v>
      </c>
      <c r="AT7" s="22" t="s">
        <v>63</v>
      </c>
      <c r="AU7" s="22"/>
      <c r="AV7" s="22"/>
    </row>
    <row r="8" spans="1:48" ht="43.5">
      <c r="A8" s="15" t="s">
        <v>93</v>
      </c>
      <c r="B8" s="22" t="s">
        <v>94</v>
      </c>
      <c r="C8" s="23" t="s">
        <v>95</v>
      </c>
      <c r="D8" s="22" t="s">
        <v>96</v>
      </c>
      <c r="E8" s="22" t="s">
        <v>97</v>
      </c>
      <c r="F8" s="23">
        <v>334471</v>
      </c>
      <c r="G8" s="23">
        <v>732016</v>
      </c>
      <c r="H8" s="24">
        <v>13.44231190826379</v>
      </c>
      <c r="I8" s="25">
        <v>43451</v>
      </c>
      <c r="J8" s="22" t="s">
        <v>88</v>
      </c>
      <c r="K8" s="22" t="s">
        <v>54</v>
      </c>
      <c r="L8" s="22"/>
      <c r="M8" s="22" t="s">
        <v>98</v>
      </c>
      <c r="N8" s="25">
        <v>45974</v>
      </c>
      <c r="O8" s="22" t="s">
        <v>91</v>
      </c>
      <c r="P8" s="25"/>
      <c r="Q8" s="23">
        <v>202</v>
      </c>
      <c r="R8" s="23">
        <v>202</v>
      </c>
      <c r="S8" s="23">
        <v>0</v>
      </c>
      <c r="T8" s="23">
        <v>0</v>
      </c>
      <c r="U8" s="51">
        <v>0</v>
      </c>
      <c r="V8" s="51">
        <v>0</v>
      </c>
      <c r="W8" s="51">
        <v>10</v>
      </c>
      <c r="X8" s="51">
        <v>30</v>
      </c>
      <c r="Y8" s="51">
        <v>30</v>
      </c>
      <c r="Z8" s="51">
        <v>40</v>
      </c>
      <c r="AA8" s="51">
        <v>40</v>
      </c>
      <c r="AB8" s="51">
        <v>52</v>
      </c>
      <c r="AC8" s="51">
        <v>0</v>
      </c>
      <c r="AD8" s="51">
        <v>0</v>
      </c>
      <c r="AE8" s="51">
        <v>0</v>
      </c>
      <c r="AF8" s="51">
        <f>SUM(Table1[[#This Row],[Programmed Y1 (26-27)]:[Later Years]])</f>
        <v>202</v>
      </c>
      <c r="AG8" s="22" t="s">
        <v>99</v>
      </c>
      <c r="AH8" s="22" t="s">
        <v>58</v>
      </c>
      <c r="AI8" s="23">
        <v>202</v>
      </c>
      <c r="AJ8" s="23">
        <v>0</v>
      </c>
      <c r="AK8" s="23">
        <v>37</v>
      </c>
      <c r="AL8" s="23">
        <v>165</v>
      </c>
      <c r="AM8" s="22" t="s">
        <v>59</v>
      </c>
      <c r="AN8" s="22" t="s">
        <v>60</v>
      </c>
      <c r="AO8" s="22"/>
      <c r="AP8" s="22" t="s">
        <v>76</v>
      </c>
      <c r="AQ8" s="22" t="s">
        <v>76</v>
      </c>
      <c r="AR8" s="23" t="s">
        <v>62</v>
      </c>
      <c r="AS8" s="23" t="s">
        <v>63</v>
      </c>
      <c r="AT8" s="22" t="s">
        <v>63</v>
      </c>
      <c r="AU8" s="22"/>
      <c r="AV8" s="22"/>
    </row>
    <row r="9" spans="1:48" ht="29.1">
      <c r="A9" s="15" t="s">
        <v>100</v>
      </c>
      <c r="B9" s="22" t="s">
        <v>101</v>
      </c>
      <c r="C9" s="23" t="s">
        <v>102</v>
      </c>
      <c r="D9" s="22" t="s">
        <v>103</v>
      </c>
      <c r="E9" s="22" t="s">
        <v>104</v>
      </c>
      <c r="F9" s="23">
        <v>337401</v>
      </c>
      <c r="G9" s="23">
        <v>734790</v>
      </c>
      <c r="H9" s="24">
        <v>6.2216252515516146</v>
      </c>
      <c r="I9" s="25">
        <v>43191</v>
      </c>
      <c r="J9" s="22" t="s">
        <v>88</v>
      </c>
      <c r="K9" s="22" t="s">
        <v>54</v>
      </c>
      <c r="L9" s="22"/>
      <c r="M9" s="22" t="s">
        <v>105</v>
      </c>
      <c r="N9" s="25">
        <v>44063</v>
      </c>
      <c r="O9" s="22" t="s">
        <v>56</v>
      </c>
      <c r="P9" s="25">
        <v>44259</v>
      </c>
      <c r="Q9" s="23">
        <v>120</v>
      </c>
      <c r="R9" s="23">
        <v>31</v>
      </c>
      <c r="S9" s="23">
        <v>19</v>
      </c>
      <c r="T9" s="23">
        <v>89</v>
      </c>
      <c r="U9" s="51">
        <v>15</v>
      </c>
      <c r="V9" s="51">
        <v>16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1">
        <v>0</v>
      </c>
      <c r="AC9" s="51">
        <v>0</v>
      </c>
      <c r="AD9" s="51">
        <v>0</v>
      </c>
      <c r="AE9" s="51">
        <v>0</v>
      </c>
      <c r="AF9" s="51">
        <f>SUM(Table1[[#This Row],[Programmed Y1 (26-27)]:[Later Years]])</f>
        <v>31</v>
      </c>
      <c r="AG9" s="22" t="s">
        <v>57</v>
      </c>
      <c r="AH9" s="22" t="s">
        <v>58</v>
      </c>
      <c r="AI9" s="23">
        <v>50</v>
      </c>
      <c r="AJ9" s="23">
        <v>0</v>
      </c>
      <c r="AK9" s="23">
        <v>0</v>
      </c>
      <c r="AL9" s="23">
        <v>120</v>
      </c>
      <c r="AM9" s="22" t="s">
        <v>59</v>
      </c>
      <c r="AN9" s="22" t="s">
        <v>60</v>
      </c>
      <c r="AO9" s="22"/>
      <c r="AP9" s="22" t="s">
        <v>106</v>
      </c>
      <c r="AQ9" s="22" t="s">
        <v>106</v>
      </c>
      <c r="AR9" s="23" t="s">
        <v>62</v>
      </c>
      <c r="AS9" s="23" t="s">
        <v>63</v>
      </c>
      <c r="AT9" s="22" t="s">
        <v>63</v>
      </c>
      <c r="AU9" s="22"/>
      <c r="AV9" s="22"/>
    </row>
    <row r="10" spans="1:48" ht="72.599999999999994">
      <c r="A10" s="15" t="s">
        <v>107</v>
      </c>
      <c r="B10" s="22" t="s">
        <v>108</v>
      </c>
      <c r="C10" s="23" t="s">
        <v>109</v>
      </c>
      <c r="D10" s="22" t="s">
        <v>110</v>
      </c>
      <c r="E10" s="22" t="s">
        <v>111</v>
      </c>
      <c r="F10" s="23">
        <v>344607</v>
      </c>
      <c r="G10" s="23">
        <v>733962</v>
      </c>
      <c r="H10" s="24">
        <v>7.4872029989091056</v>
      </c>
      <c r="I10" s="25">
        <v>44337</v>
      </c>
      <c r="J10" s="22" t="s">
        <v>88</v>
      </c>
      <c r="K10" s="22" t="s">
        <v>54</v>
      </c>
      <c r="L10" s="22"/>
      <c r="M10" s="22" t="s">
        <v>112</v>
      </c>
      <c r="N10" s="25">
        <v>44337</v>
      </c>
      <c r="O10" s="22" t="s">
        <v>91</v>
      </c>
      <c r="P10" s="25"/>
      <c r="Q10" s="23">
        <v>150</v>
      </c>
      <c r="R10" s="23">
        <v>150</v>
      </c>
      <c r="S10" s="23">
        <v>0</v>
      </c>
      <c r="T10" s="23">
        <v>0</v>
      </c>
      <c r="U10" s="51">
        <v>24</v>
      </c>
      <c r="V10" s="51">
        <v>36</v>
      </c>
      <c r="W10" s="51">
        <v>36</v>
      </c>
      <c r="X10" s="51">
        <v>36</v>
      </c>
      <c r="Y10" s="51">
        <v>18</v>
      </c>
      <c r="Z10" s="51">
        <v>0</v>
      </c>
      <c r="AA10" s="51">
        <v>0</v>
      </c>
      <c r="AB10" s="51">
        <v>0</v>
      </c>
      <c r="AC10" s="51">
        <v>0</v>
      </c>
      <c r="AD10" s="51">
        <v>0</v>
      </c>
      <c r="AE10" s="51">
        <v>0</v>
      </c>
      <c r="AF10" s="51">
        <f>SUM(Table1[[#This Row],[Programmed Y1 (26-27)]:[Later Years]])</f>
        <v>150</v>
      </c>
      <c r="AG10" s="22" t="s">
        <v>70</v>
      </c>
      <c r="AH10" s="22" t="s">
        <v>58</v>
      </c>
      <c r="AI10" s="23">
        <v>150</v>
      </c>
      <c r="AJ10" s="23">
        <v>0</v>
      </c>
      <c r="AK10" s="23">
        <v>0</v>
      </c>
      <c r="AL10" s="23">
        <v>150</v>
      </c>
      <c r="AM10" s="22" t="s">
        <v>59</v>
      </c>
      <c r="AN10" s="22" t="s">
        <v>60</v>
      </c>
      <c r="AO10" s="22"/>
      <c r="AP10" s="22" t="s">
        <v>113</v>
      </c>
      <c r="AQ10" s="22" t="s">
        <v>113</v>
      </c>
      <c r="AR10" s="23" t="s">
        <v>62</v>
      </c>
      <c r="AS10" s="23" t="s">
        <v>63</v>
      </c>
      <c r="AT10" s="22" t="s">
        <v>63</v>
      </c>
      <c r="AU10" s="22"/>
      <c r="AV10" s="22"/>
    </row>
    <row r="11" spans="1:48" ht="29.1">
      <c r="A11" s="15" t="s">
        <v>114</v>
      </c>
      <c r="B11" s="22" t="s">
        <v>115</v>
      </c>
      <c r="C11" s="23" t="s">
        <v>116</v>
      </c>
      <c r="D11" s="22" t="s">
        <v>117</v>
      </c>
      <c r="E11" s="22" t="s">
        <v>118</v>
      </c>
      <c r="F11" s="23">
        <v>333717</v>
      </c>
      <c r="G11" s="23">
        <v>731646</v>
      </c>
      <c r="H11" s="24">
        <v>21.983299778945391</v>
      </c>
      <c r="I11" s="25">
        <v>43111</v>
      </c>
      <c r="J11" s="22" t="s">
        <v>88</v>
      </c>
      <c r="K11" s="22" t="s">
        <v>119</v>
      </c>
      <c r="L11" s="22"/>
      <c r="M11" s="22"/>
      <c r="N11" s="25"/>
      <c r="O11" s="22" t="s">
        <v>91</v>
      </c>
      <c r="P11" s="25"/>
      <c r="Q11" s="23">
        <v>250</v>
      </c>
      <c r="R11" s="23">
        <v>250</v>
      </c>
      <c r="S11" s="23">
        <v>0</v>
      </c>
      <c r="T11" s="23">
        <v>0</v>
      </c>
      <c r="U11" s="51">
        <v>0</v>
      </c>
      <c r="V11" s="51">
        <v>0</v>
      </c>
      <c r="W11" s="51">
        <v>0</v>
      </c>
      <c r="X11" s="51">
        <v>40</v>
      </c>
      <c r="Y11" s="51">
        <v>50</v>
      </c>
      <c r="Z11" s="51">
        <v>50</v>
      </c>
      <c r="AA11" s="51">
        <v>50</v>
      </c>
      <c r="AB11" s="51">
        <v>50</v>
      </c>
      <c r="AC11" s="51">
        <v>10</v>
      </c>
      <c r="AD11" s="51">
        <v>0</v>
      </c>
      <c r="AE11" s="51">
        <v>0</v>
      </c>
      <c r="AF11" s="51">
        <f>SUM(Table1[[#This Row],[Programmed Y1 (26-27)]:[Later Years]])</f>
        <v>250</v>
      </c>
      <c r="AG11" s="22" t="s">
        <v>99</v>
      </c>
      <c r="AH11" s="22" t="s">
        <v>58</v>
      </c>
      <c r="AI11" s="23">
        <v>250</v>
      </c>
      <c r="AJ11" s="23">
        <v>0</v>
      </c>
      <c r="AK11" s="23">
        <v>0</v>
      </c>
      <c r="AL11" s="23">
        <v>250</v>
      </c>
      <c r="AM11" s="22" t="s">
        <v>59</v>
      </c>
      <c r="AN11" s="22" t="s">
        <v>60</v>
      </c>
      <c r="AO11" s="22"/>
      <c r="AP11" s="22" t="s">
        <v>61</v>
      </c>
      <c r="AQ11" s="22" t="s">
        <v>61</v>
      </c>
      <c r="AR11" s="23" t="s">
        <v>62</v>
      </c>
      <c r="AS11" s="23" t="s">
        <v>63</v>
      </c>
      <c r="AT11" s="22" t="s">
        <v>63</v>
      </c>
      <c r="AU11" s="22"/>
      <c r="AV11" s="22"/>
    </row>
    <row r="12" spans="1:48" ht="87">
      <c r="A12" s="15" t="s">
        <v>120</v>
      </c>
      <c r="B12" s="22" t="s">
        <v>121</v>
      </c>
      <c r="C12" s="23" t="s">
        <v>122</v>
      </c>
      <c r="D12" s="22" t="s">
        <v>123</v>
      </c>
      <c r="E12" s="22" t="s">
        <v>124</v>
      </c>
      <c r="F12" s="23">
        <v>346394</v>
      </c>
      <c r="G12" s="23">
        <v>733242</v>
      </c>
      <c r="H12" s="24">
        <v>15.897296851018471</v>
      </c>
      <c r="I12" s="25">
        <v>43276</v>
      </c>
      <c r="J12" s="22" t="s">
        <v>88</v>
      </c>
      <c r="K12" s="22" t="s">
        <v>54</v>
      </c>
      <c r="L12" s="22" t="s">
        <v>68</v>
      </c>
      <c r="M12" s="22" t="s">
        <v>125</v>
      </c>
      <c r="N12" s="25">
        <v>44378</v>
      </c>
      <c r="O12" s="22" t="s">
        <v>56</v>
      </c>
      <c r="P12" s="25">
        <v>44200</v>
      </c>
      <c r="Q12" s="23">
        <v>250</v>
      </c>
      <c r="R12" s="23">
        <v>1</v>
      </c>
      <c r="S12" s="23">
        <v>0</v>
      </c>
      <c r="T12" s="23">
        <v>249</v>
      </c>
      <c r="U12" s="51">
        <v>1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1">
        <v>0</v>
      </c>
      <c r="AC12" s="51">
        <v>0</v>
      </c>
      <c r="AD12" s="51">
        <v>0</v>
      </c>
      <c r="AE12" s="51">
        <v>0</v>
      </c>
      <c r="AF12" s="51">
        <f>SUM(Table1[[#This Row],[Programmed Y1 (26-27)]:[Later Years]])</f>
        <v>1</v>
      </c>
      <c r="AG12" s="22" t="s">
        <v>57</v>
      </c>
      <c r="AH12" s="22" t="s">
        <v>58</v>
      </c>
      <c r="AI12" s="23">
        <v>1</v>
      </c>
      <c r="AJ12" s="23">
        <v>0</v>
      </c>
      <c r="AK12" s="23">
        <v>0</v>
      </c>
      <c r="AL12" s="23">
        <v>250</v>
      </c>
      <c r="AM12" s="22" t="s">
        <v>59</v>
      </c>
      <c r="AN12" s="22" t="s">
        <v>60</v>
      </c>
      <c r="AO12" s="22"/>
      <c r="AP12" s="22" t="s">
        <v>126</v>
      </c>
      <c r="AQ12" s="22" t="s">
        <v>126</v>
      </c>
      <c r="AR12" s="23" t="s">
        <v>62</v>
      </c>
      <c r="AS12" s="23" t="s">
        <v>63</v>
      </c>
      <c r="AT12" s="22" t="s">
        <v>63</v>
      </c>
      <c r="AU12" s="22"/>
      <c r="AV12" s="22"/>
    </row>
    <row r="13" spans="1:48" ht="14.45">
      <c r="A13" s="15"/>
      <c r="B13" s="33"/>
      <c r="C13" s="34"/>
      <c r="D13" s="35"/>
      <c r="E13" s="35"/>
      <c r="F13" s="36"/>
      <c r="G13" s="37"/>
      <c r="H13" s="37"/>
      <c r="I13" s="34"/>
      <c r="J13" s="38"/>
      <c r="K13" s="38"/>
      <c r="L13" s="38"/>
      <c r="M13" s="38"/>
      <c r="N13" s="34"/>
      <c r="O13" s="38"/>
      <c r="P13" s="34"/>
      <c r="Q13" s="41">
        <f>SUBTOTAL(109,Table1[Site capacity])</f>
        <v>1679</v>
      </c>
      <c r="R13" s="41">
        <f>SUBTOTAL(109,Table1[Units to build])</f>
        <v>871</v>
      </c>
      <c r="S13" s="41">
        <f>SUBTOTAL(109,Table1[Plots completed in survey year])</f>
        <v>44</v>
      </c>
      <c r="T13" s="41">
        <f>SUBTOTAL(109,Table1[Total completions])</f>
        <v>808</v>
      </c>
      <c r="U13" s="39">
        <f>SUBTOTAL(109,Table1[Programmed Y1 (26-27)])</f>
        <v>42</v>
      </c>
      <c r="V13" s="39">
        <f>SUBTOTAL(109,Table1[Programmed Y2 (27-28)])</f>
        <v>85</v>
      </c>
      <c r="W13" s="39">
        <f>SUBTOTAL(109,Table1[Programmed Y3 (28-29)])</f>
        <v>112</v>
      </c>
      <c r="X13" s="39">
        <f>SUBTOTAL(109,Table1[Programmed Y4 (29-30)])</f>
        <v>194</v>
      </c>
      <c r="Y13" s="39">
        <f>SUBTOTAL(109,Table1[Programmed Y5 (30-31)])</f>
        <v>139</v>
      </c>
      <c r="Z13" s="39">
        <f>SUBTOTAL(109,Table1[Programmed Y6 (31-32)])</f>
        <v>97</v>
      </c>
      <c r="AA13" s="39">
        <f>SUBTOTAL(109,Table1[Programmed Y7 (32-33)])</f>
        <v>90</v>
      </c>
      <c r="AB13" s="39">
        <f>SUBTOTAL(109,Table1[Programmed Y8 (33-34)])</f>
        <v>102</v>
      </c>
      <c r="AC13" s="39">
        <f>SUBTOTAL(109,Table1[Programmed Y9 (34-35)])</f>
        <v>10</v>
      </c>
      <c r="AD13" s="39">
        <f>SUBTOTAL(109,Table1[Programmed Y10 (35-36)])</f>
        <v>0</v>
      </c>
      <c r="AE13" s="39">
        <f>SUBTOTAL(109,Table1[Later Years])</f>
        <v>0</v>
      </c>
      <c r="AF13" s="39">
        <f>SUBTOTAL(109,Table1[Total Programmed])</f>
        <v>871</v>
      </c>
      <c r="AG13" s="40"/>
      <c r="AH13" s="40"/>
      <c r="AI13" s="39">
        <f>SUBTOTAL(109,Table1[Number Market])</f>
        <v>943</v>
      </c>
      <c r="AJ13" s="39">
        <f>SUBTOTAL(109,Table1[Number Affordable])</f>
        <v>0</v>
      </c>
      <c r="AK13" s="39">
        <f>SUBTOTAL(109,Table1[No of flats])</f>
        <v>95</v>
      </c>
      <c r="AL13" s="39">
        <f>SUBTOTAL(109,Table1[No of houses])</f>
        <v>1534</v>
      </c>
      <c r="AM13" s="40"/>
      <c r="AN13" s="35"/>
      <c r="AO13" s="35"/>
      <c r="AP13" s="35"/>
      <c r="AQ13" s="35"/>
      <c r="AR13" s="39"/>
      <c r="AS13" s="36"/>
      <c r="AT13" s="35"/>
      <c r="AU13" s="35"/>
      <c r="AV13" s="35"/>
    </row>
  </sheetData>
  <mergeCells count="1">
    <mergeCell ref="A1:AV1"/>
  </mergeCells>
  <conditionalFormatting sqref="Q3:AV12">
    <cfRule type="cellIs" dxfId="477" priority="1" operator="equal">
      <formula>0</formula>
    </cfRule>
  </conditionalFormatting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55D6E-D00B-41C1-B4DC-54E96746D973}">
  <dimension ref="A1:AV55"/>
  <sheetViews>
    <sheetView zoomScale="70" zoomScaleNormal="70" workbookViewId="0">
      <pane xSplit="2" ySplit="2" topLeftCell="L47" activePane="bottomRight" state="frozen"/>
      <selection pane="bottomRight" activeCell="N11" sqref="N11"/>
      <selection pane="bottomLeft" activeCell="A3" sqref="A3"/>
      <selection pane="topRight" activeCell="C1" sqref="C1"/>
    </sheetView>
  </sheetViews>
  <sheetFormatPr defaultRowHeight="15" customHeight="1"/>
  <cols>
    <col min="1" max="1" width="15.85546875" customWidth="1"/>
    <col min="2" max="2" width="33.28515625" customWidth="1"/>
    <col min="3" max="3" width="20.140625" customWidth="1"/>
    <col min="4" max="4" width="34.7109375" customWidth="1"/>
    <col min="5" max="5" width="16" customWidth="1"/>
    <col min="6" max="6" width="9.5703125" customWidth="1"/>
    <col min="7" max="7" width="11.42578125" customWidth="1"/>
    <col min="8" max="8" width="15.28515625" customWidth="1"/>
    <col min="9" max="9" width="17.140625" customWidth="1"/>
    <col min="10" max="10" width="22.85546875" customWidth="1"/>
    <col min="11" max="11" width="17.42578125" customWidth="1"/>
    <col min="12" max="12" width="14.42578125" customWidth="1"/>
    <col min="13" max="13" width="34.85546875" bestFit="1" customWidth="1"/>
    <col min="14" max="14" width="28.85546875" customWidth="1"/>
    <col min="15" max="15" width="36.7109375" customWidth="1"/>
    <col min="16" max="16" width="25" customWidth="1"/>
    <col min="17" max="17" width="14.7109375" customWidth="1"/>
    <col min="18" max="19" width="15.5703125" customWidth="1"/>
    <col min="20" max="20" width="19.5703125" customWidth="1"/>
    <col min="21" max="29" width="17.7109375" customWidth="1"/>
    <col min="30" max="30" width="18.85546875" customWidth="1"/>
    <col min="31" max="31" width="13.140625" customWidth="1"/>
    <col min="32" max="32" width="20.42578125" customWidth="1"/>
    <col min="33" max="33" width="20.85546875" customWidth="1"/>
    <col min="34" max="34" width="28.42578125" customWidth="1"/>
    <col min="35" max="35" width="14.28515625" customWidth="1"/>
    <col min="36" max="36" width="14.5703125" customWidth="1"/>
    <col min="37" max="37" width="12.5703125" customWidth="1"/>
    <col min="38" max="38" width="15" customWidth="1"/>
    <col min="39" max="39" width="30.140625" customWidth="1"/>
    <col min="40" max="40" width="21.7109375" customWidth="1"/>
    <col min="41" max="41" width="19.140625" bestFit="1" customWidth="1"/>
    <col min="42" max="42" width="26.42578125" customWidth="1"/>
    <col min="43" max="43" width="23.140625" customWidth="1"/>
    <col min="44" max="44" width="24.28515625" customWidth="1"/>
    <col min="45" max="45" width="10.5703125" customWidth="1"/>
    <col min="46" max="46" width="11.5703125" customWidth="1"/>
    <col min="47" max="47" width="10" customWidth="1"/>
    <col min="48" max="48" width="25" customWidth="1"/>
    <col min="50" max="50" width="11.85546875" customWidth="1"/>
  </cols>
  <sheetData>
    <row r="1" spans="1:48" ht="48" customHeight="1">
      <c r="A1" s="58" t="s">
        <v>127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</row>
    <row r="2" spans="1:48" s="1" customFormat="1" ht="55.5" customHeight="1">
      <c r="A2" s="8" t="s">
        <v>1</v>
      </c>
      <c r="B2" s="17" t="s">
        <v>2</v>
      </c>
      <c r="C2" s="16" t="s">
        <v>3</v>
      </c>
      <c r="D2" s="17" t="s">
        <v>4</v>
      </c>
      <c r="E2" s="17" t="s">
        <v>5</v>
      </c>
      <c r="F2" s="16" t="s">
        <v>6</v>
      </c>
      <c r="G2" s="16" t="s">
        <v>7</v>
      </c>
      <c r="H2" s="18" t="s">
        <v>8</v>
      </c>
      <c r="I2" s="19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9" t="s">
        <v>14</v>
      </c>
      <c r="O2" s="17" t="s">
        <v>15</v>
      </c>
      <c r="P2" s="19" t="s">
        <v>16</v>
      </c>
      <c r="Q2" s="16" t="s">
        <v>17</v>
      </c>
      <c r="R2" s="16" t="s">
        <v>18</v>
      </c>
      <c r="S2" s="16" t="s">
        <v>19</v>
      </c>
      <c r="T2" s="16" t="s">
        <v>20</v>
      </c>
      <c r="U2" s="48" t="s">
        <v>21</v>
      </c>
      <c r="V2" s="49" t="s">
        <v>22</v>
      </c>
      <c r="W2" s="49" t="s">
        <v>23</v>
      </c>
      <c r="X2" s="49" t="s">
        <v>24</v>
      </c>
      <c r="Y2" s="49" t="s">
        <v>25</v>
      </c>
      <c r="Z2" s="49" t="s">
        <v>26</v>
      </c>
      <c r="AA2" s="49" t="s">
        <v>27</v>
      </c>
      <c r="AB2" s="49" t="s">
        <v>28</v>
      </c>
      <c r="AC2" s="49" t="s">
        <v>29</v>
      </c>
      <c r="AD2" s="49" t="s">
        <v>30</v>
      </c>
      <c r="AE2" s="20" t="s">
        <v>31</v>
      </c>
      <c r="AF2" s="21" t="s">
        <v>32</v>
      </c>
      <c r="AG2" s="17" t="s">
        <v>33</v>
      </c>
      <c r="AH2" s="17" t="s">
        <v>34</v>
      </c>
      <c r="AI2" s="16" t="s">
        <v>35</v>
      </c>
      <c r="AJ2" s="16" t="s">
        <v>36</v>
      </c>
      <c r="AK2" s="16" t="s">
        <v>37</v>
      </c>
      <c r="AL2" s="16" t="s">
        <v>38</v>
      </c>
      <c r="AM2" s="17" t="s">
        <v>39</v>
      </c>
      <c r="AN2" s="17" t="s">
        <v>40</v>
      </c>
      <c r="AO2" s="17" t="s">
        <v>41</v>
      </c>
      <c r="AP2" s="17" t="s">
        <v>42</v>
      </c>
      <c r="AQ2" s="17" t="s">
        <v>43</v>
      </c>
      <c r="AR2" s="16" t="s">
        <v>44</v>
      </c>
      <c r="AS2" s="16" t="s">
        <v>45</v>
      </c>
      <c r="AT2" s="17" t="s">
        <v>46</v>
      </c>
      <c r="AU2" s="17" t="s">
        <v>47</v>
      </c>
      <c r="AV2" s="17" t="s">
        <v>48</v>
      </c>
    </row>
    <row r="3" spans="1:48" s="1" customFormat="1" ht="29.1">
      <c r="A3" s="15">
        <v>201011</v>
      </c>
      <c r="B3" s="22" t="s">
        <v>128</v>
      </c>
      <c r="C3" s="23" t="s">
        <v>129</v>
      </c>
      <c r="D3" s="22" t="s">
        <v>130</v>
      </c>
      <c r="E3" s="22" t="s">
        <v>131</v>
      </c>
      <c r="F3" s="23">
        <v>343218</v>
      </c>
      <c r="G3" s="23">
        <v>733353</v>
      </c>
      <c r="H3" s="24">
        <v>2.36</v>
      </c>
      <c r="I3" s="25">
        <v>45182</v>
      </c>
      <c r="J3" s="22" t="s">
        <v>88</v>
      </c>
      <c r="K3" s="22" t="s">
        <v>54</v>
      </c>
      <c r="L3" s="22"/>
      <c r="M3" s="22" t="s">
        <v>132</v>
      </c>
      <c r="N3" s="25">
        <v>45182</v>
      </c>
      <c r="O3" s="22" t="s">
        <v>56</v>
      </c>
      <c r="P3" s="25">
        <v>45523</v>
      </c>
      <c r="Q3" s="23">
        <v>48</v>
      </c>
      <c r="R3" s="23">
        <v>48</v>
      </c>
      <c r="S3" s="23">
        <v>0</v>
      </c>
      <c r="T3" s="23">
        <v>0</v>
      </c>
      <c r="U3" s="52">
        <v>0</v>
      </c>
      <c r="V3" s="52">
        <v>33</v>
      </c>
      <c r="W3" s="52">
        <v>15</v>
      </c>
      <c r="X3" s="52">
        <v>0</v>
      </c>
      <c r="Y3" s="52">
        <v>0</v>
      </c>
      <c r="Z3" s="52">
        <v>0</v>
      </c>
      <c r="AA3" s="52">
        <v>0</v>
      </c>
      <c r="AB3" s="52">
        <v>0</v>
      </c>
      <c r="AC3" s="52">
        <v>0</v>
      </c>
      <c r="AD3" s="52">
        <v>0</v>
      </c>
      <c r="AE3" s="52">
        <v>0</v>
      </c>
      <c r="AF3" s="52">
        <f>SUM(Table6[[#This Row],[Programmed Y1 (26-27)]:[Later Years]])</f>
        <v>48</v>
      </c>
      <c r="AG3" s="22" t="s">
        <v>57</v>
      </c>
      <c r="AH3" s="22" t="s">
        <v>133</v>
      </c>
      <c r="AI3" s="54">
        <v>30</v>
      </c>
      <c r="AJ3" s="23">
        <v>18</v>
      </c>
      <c r="AK3" s="23">
        <v>8</v>
      </c>
      <c r="AL3" s="23">
        <v>40</v>
      </c>
      <c r="AM3" s="22" t="s">
        <v>59</v>
      </c>
      <c r="AN3" s="22" t="s">
        <v>60</v>
      </c>
      <c r="AO3" s="22"/>
      <c r="AP3" s="22" t="s">
        <v>134</v>
      </c>
      <c r="AQ3" s="22" t="s">
        <v>134</v>
      </c>
      <c r="AR3" s="23" t="s">
        <v>135</v>
      </c>
      <c r="AS3" s="23" t="s">
        <v>136</v>
      </c>
      <c r="AT3" s="22" t="s">
        <v>63</v>
      </c>
      <c r="AU3" s="22"/>
      <c r="AV3" s="22" t="s">
        <v>137</v>
      </c>
    </row>
    <row r="4" spans="1:48" s="1" customFormat="1" ht="29.1">
      <c r="A4" s="15">
        <v>202518</v>
      </c>
      <c r="B4" s="22" t="s">
        <v>138</v>
      </c>
      <c r="C4" s="23"/>
      <c r="D4" s="22" t="s">
        <v>139</v>
      </c>
      <c r="E4" s="22">
        <v>9059103427</v>
      </c>
      <c r="F4" s="23">
        <v>336986</v>
      </c>
      <c r="G4" s="23">
        <v>731890</v>
      </c>
      <c r="H4" s="24">
        <v>1.9970699185243841</v>
      </c>
      <c r="I4" s="25">
        <v>45462</v>
      </c>
      <c r="J4" s="22"/>
      <c r="K4" s="22" t="s">
        <v>54</v>
      </c>
      <c r="L4" s="22"/>
      <c r="M4" s="22" t="s">
        <v>140</v>
      </c>
      <c r="N4" s="25">
        <v>45462</v>
      </c>
      <c r="O4" s="22" t="s">
        <v>91</v>
      </c>
      <c r="P4" s="25"/>
      <c r="Q4" s="23">
        <v>45</v>
      </c>
      <c r="R4" s="23">
        <v>45</v>
      </c>
      <c r="S4" s="23">
        <v>0</v>
      </c>
      <c r="T4" s="23">
        <v>0</v>
      </c>
      <c r="U4" s="52">
        <v>12</v>
      </c>
      <c r="V4" s="52">
        <v>20</v>
      </c>
      <c r="W4" s="52">
        <v>13</v>
      </c>
      <c r="X4" s="52">
        <v>0</v>
      </c>
      <c r="Y4" s="52">
        <v>0</v>
      </c>
      <c r="Z4" s="52">
        <v>0</v>
      </c>
      <c r="AA4" s="52">
        <v>0</v>
      </c>
      <c r="AB4" s="52">
        <v>0</v>
      </c>
      <c r="AC4" s="52">
        <v>0</v>
      </c>
      <c r="AD4" s="52">
        <v>0</v>
      </c>
      <c r="AE4" s="52">
        <v>0</v>
      </c>
      <c r="AF4" s="52">
        <f>SUM(Table6[[#This Row],[Programmed Y1 (26-27)]:[Later Years]])</f>
        <v>45</v>
      </c>
      <c r="AG4" s="53" t="s">
        <v>57</v>
      </c>
      <c r="AH4" s="53" t="s">
        <v>58</v>
      </c>
      <c r="AI4" s="54">
        <v>45</v>
      </c>
      <c r="AJ4" s="23">
        <v>0</v>
      </c>
      <c r="AK4" s="23">
        <v>0</v>
      </c>
      <c r="AL4" s="23">
        <v>45</v>
      </c>
      <c r="AM4" s="22" t="s">
        <v>59</v>
      </c>
      <c r="AN4" s="22" t="s">
        <v>60</v>
      </c>
      <c r="AO4" s="22"/>
      <c r="AP4" s="22" t="s">
        <v>141</v>
      </c>
      <c r="AQ4" s="22" t="s">
        <v>141</v>
      </c>
      <c r="AR4" s="23" t="s">
        <v>135</v>
      </c>
      <c r="AS4" s="23"/>
      <c r="AT4" s="22" t="s">
        <v>63</v>
      </c>
      <c r="AU4" s="22"/>
      <c r="AV4" s="22"/>
    </row>
    <row r="5" spans="1:48" s="1" customFormat="1" ht="29.1" customHeight="1">
      <c r="A5" s="15" t="s">
        <v>142</v>
      </c>
      <c r="B5" s="22" t="s">
        <v>143</v>
      </c>
      <c r="C5" s="23"/>
      <c r="D5" s="22" t="s">
        <v>144</v>
      </c>
      <c r="E5" s="22" t="s">
        <v>145</v>
      </c>
      <c r="F5" s="23">
        <v>347412</v>
      </c>
      <c r="G5" s="23">
        <v>731144</v>
      </c>
      <c r="H5" s="24">
        <v>1.006730855041083</v>
      </c>
      <c r="I5" s="25">
        <v>41625</v>
      </c>
      <c r="J5" s="22" t="s">
        <v>53</v>
      </c>
      <c r="K5" s="22" t="s">
        <v>54</v>
      </c>
      <c r="L5" s="22"/>
      <c r="M5" s="22" t="s">
        <v>146</v>
      </c>
      <c r="N5" s="25">
        <v>44666</v>
      </c>
      <c r="O5" s="22" t="s">
        <v>56</v>
      </c>
      <c r="P5" s="25">
        <v>42900</v>
      </c>
      <c r="Q5" s="23">
        <v>26</v>
      </c>
      <c r="R5" s="23">
        <v>18</v>
      </c>
      <c r="S5" s="23">
        <v>1</v>
      </c>
      <c r="T5" s="23">
        <v>8</v>
      </c>
      <c r="U5" s="52">
        <v>18</v>
      </c>
      <c r="V5" s="52">
        <v>0</v>
      </c>
      <c r="W5" s="52">
        <v>0</v>
      </c>
      <c r="X5" s="52">
        <v>0</v>
      </c>
      <c r="Y5" s="52">
        <v>0</v>
      </c>
      <c r="Z5" s="52">
        <v>0</v>
      </c>
      <c r="AA5" s="52">
        <v>0</v>
      </c>
      <c r="AB5" s="52">
        <v>0</v>
      </c>
      <c r="AC5" s="52">
        <v>0</v>
      </c>
      <c r="AD5" s="52">
        <v>0</v>
      </c>
      <c r="AE5" s="52">
        <v>0</v>
      </c>
      <c r="AF5" s="52">
        <f>SUM(Table6[[#This Row],[Programmed Y1 (26-27)]:[Later Years]])</f>
        <v>18</v>
      </c>
      <c r="AG5" s="22" t="s">
        <v>57</v>
      </c>
      <c r="AH5" s="22" t="s">
        <v>58</v>
      </c>
      <c r="AI5" s="23">
        <v>18</v>
      </c>
      <c r="AJ5" s="23">
        <v>0</v>
      </c>
      <c r="AK5" s="23">
        <v>23</v>
      </c>
      <c r="AL5" s="23">
        <v>3</v>
      </c>
      <c r="AM5" s="22" t="s">
        <v>59</v>
      </c>
      <c r="AN5" s="22" t="s">
        <v>60</v>
      </c>
      <c r="AO5" s="22"/>
      <c r="AP5" s="22" t="s">
        <v>147</v>
      </c>
      <c r="AQ5" s="22" t="s">
        <v>147</v>
      </c>
      <c r="AR5" s="23" t="s">
        <v>135</v>
      </c>
      <c r="AS5" s="23" t="s">
        <v>63</v>
      </c>
      <c r="AT5" s="22" t="s">
        <v>63</v>
      </c>
      <c r="AU5" s="22"/>
      <c r="AV5" s="22" t="s">
        <v>148</v>
      </c>
    </row>
    <row r="6" spans="1:48" s="1" customFormat="1" ht="14.45">
      <c r="A6" s="15" t="s">
        <v>149</v>
      </c>
      <c r="B6" s="22" t="s">
        <v>150</v>
      </c>
      <c r="C6" s="23"/>
      <c r="D6" s="22" t="s">
        <v>151</v>
      </c>
      <c r="E6" s="22" t="s">
        <v>152</v>
      </c>
      <c r="F6" s="23">
        <v>339577</v>
      </c>
      <c r="G6" s="23">
        <v>729422</v>
      </c>
      <c r="H6" s="24">
        <v>1.6776442914955261</v>
      </c>
      <c r="I6" s="25">
        <v>39238</v>
      </c>
      <c r="J6" s="22" t="s">
        <v>53</v>
      </c>
      <c r="K6" s="22" t="s">
        <v>54</v>
      </c>
      <c r="L6" s="22"/>
      <c r="M6" s="22" t="s">
        <v>153</v>
      </c>
      <c r="N6" s="25">
        <v>39238</v>
      </c>
      <c r="O6" s="22" t="s">
        <v>56</v>
      </c>
      <c r="P6" s="25">
        <v>41029</v>
      </c>
      <c r="Q6" s="23">
        <v>143</v>
      </c>
      <c r="R6" s="23">
        <v>55</v>
      </c>
      <c r="S6" s="23">
        <v>1</v>
      </c>
      <c r="T6" s="23">
        <v>88</v>
      </c>
      <c r="U6" s="52">
        <v>27</v>
      </c>
      <c r="V6" s="52">
        <v>28</v>
      </c>
      <c r="W6" s="52">
        <v>0</v>
      </c>
      <c r="X6" s="52">
        <v>0</v>
      </c>
      <c r="Y6" s="52">
        <v>0</v>
      </c>
      <c r="Z6" s="52">
        <v>0</v>
      </c>
      <c r="AA6" s="52">
        <v>0</v>
      </c>
      <c r="AB6" s="52">
        <v>0</v>
      </c>
      <c r="AC6" s="52">
        <v>0</v>
      </c>
      <c r="AD6" s="52">
        <v>0</v>
      </c>
      <c r="AE6" s="52">
        <v>0</v>
      </c>
      <c r="AF6" s="52">
        <f>SUM(Table6[[#This Row],[Programmed Y1 (26-27)]:[Later Years]])</f>
        <v>55</v>
      </c>
      <c r="AG6" s="22" t="s">
        <v>57</v>
      </c>
      <c r="AH6" s="22" t="s">
        <v>58</v>
      </c>
      <c r="AI6" s="23">
        <v>56</v>
      </c>
      <c r="AJ6" s="23">
        <v>0</v>
      </c>
      <c r="AK6" s="23">
        <v>135</v>
      </c>
      <c r="AL6" s="23">
        <v>8</v>
      </c>
      <c r="AM6" s="22" t="s">
        <v>59</v>
      </c>
      <c r="AN6" s="22" t="s">
        <v>60</v>
      </c>
      <c r="AO6" s="22"/>
      <c r="AP6" s="22" t="s">
        <v>154</v>
      </c>
      <c r="AQ6" s="22" t="s">
        <v>154</v>
      </c>
      <c r="AR6" s="23" t="s">
        <v>135</v>
      </c>
      <c r="AS6" s="23" t="s">
        <v>63</v>
      </c>
      <c r="AT6" s="22" t="s">
        <v>63</v>
      </c>
      <c r="AU6" s="22"/>
      <c r="AV6" s="22" t="s">
        <v>155</v>
      </c>
    </row>
    <row r="7" spans="1:48" s="1" customFormat="1" ht="14.45">
      <c r="A7" s="15" t="s">
        <v>156</v>
      </c>
      <c r="B7" s="22" t="s">
        <v>157</v>
      </c>
      <c r="C7" s="23" t="s">
        <v>158</v>
      </c>
      <c r="D7" s="22" t="s">
        <v>159</v>
      </c>
      <c r="E7" s="22" t="s">
        <v>160</v>
      </c>
      <c r="F7" s="23">
        <v>338919</v>
      </c>
      <c r="G7" s="23">
        <v>733132</v>
      </c>
      <c r="H7" s="24">
        <v>1.277837094999857</v>
      </c>
      <c r="I7" s="25">
        <v>39904</v>
      </c>
      <c r="J7" s="22" t="s">
        <v>88</v>
      </c>
      <c r="K7" s="22" t="s">
        <v>54</v>
      </c>
      <c r="L7" s="22"/>
      <c r="M7" s="22" t="s">
        <v>161</v>
      </c>
      <c r="N7" s="25">
        <v>44153</v>
      </c>
      <c r="O7" s="22" t="s">
        <v>56</v>
      </c>
      <c r="P7" s="25">
        <v>45161</v>
      </c>
      <c r="Q7" s="23">
        <v>23</v>
      </c>
      <c r="R7" s="23">
        <v>14</v>
      </c>
      <c r="S7" s="23">
        <v>9</v>
      </c>
      <c r="T7" s="23">
        <v>9</v>
      </c>
      <c r="U7" s="52">
        <v>14</v>
      </c>
      <c r="V7" s="52">
        <v>0</v>
      </c>
      <c r="W7" s="52">
        <v>0</v>
      </c>
      <c r="X7" s="52">
        <v>0</v>
      </c>
      <c r="Y7" s="52">
        <v>0</v>
      </c>
      <c r="Z7" s="52">
        <v>0</v>
      </c>
      <c r="AA7" s="52">
        <v>0</v>
      </c>
      <c r="AB7" s="52">
        <v>0</v>
      </c>
      <c r="AC7" s="52">
        <v>0</v>
      </c>
      <c r="AD7" s="52">
        <v>0</v>
      </c>
      <c r="AE7" s="52">
        <v>0</v>
      </c>
      <c r="AF7" s="52">
        <f>SUM(Table6[[#This Row],[Programmed Y1 (26-27)]:[Later Years]])</f>
        <v>14</v>
      </c>
      <c r="AG7" s="22" t="s">
        <v>57</v>
      </c>
      <c r="AH7" s="22" t="s">
        <v>58</v>
      </c>
      <c r="AI7" s="23">
        <v>23</v>
      </c>
      <c r="AJ7" s="23">
        <v>0</v>
      </c>
      <c r="AK7" s="23">
        <v>0</v>
      </c>
      <c r="AL7" s="23">
        <v>23</v>
      </c>
      <c r="AM7" s="22" t="s">
        <v>59</v>
      </c>
      <c r="AN7" s="22" t="s">
        <v>60</v>
      </c>
      <c r="AO7" s="22"/>
      <c r="AP7" s="22" t="s">
        <v>154</v>
      </c>
      <c r="AQ7" s="22" t="s">
        <v>154</v>
      </c>
      <c r="AR7" s="23" t="s">
        <v>135</v>
      </c>
      <c r="AS7" s="23" t="s">
        <v>63</v>
      </c>
      <c r="AT7" s="22" t="s">
        <v>63</v>
      </c>
      <c r="AU7" s="22"/>
      <c r="AV7" s="22" t="s">
        <v>162</v>
      </c>
    </row>
    <row r="8" spans="1:48" s="1" customFormat="1" ht="29.1">
      <c r="A8" s="15" t="s">
        <v>163</v>
      </c>
      <c r="B8" s="22" t="s">
        <v>164</v>
      </c>
      <c r="C8" s="23" t="s">
        <v>165</v>
      </c>
      <c r="D8" s="22" t="s">
        <v>166</v>
      </c>
      <c r="E8" s="22" t="s">
        <v>167</v>
      </c>
      <c r="F8" s="23">
        <v>338363</v>
      </c>
      <c r="G8" s="23">
        <v>733094</v>
      </c>
      <c r="H8" s="24">
        <v>4.0248834852854696</v>
      </c>
      <c r="I8" s="25">
        <v>39904</v>
      </c>
      <c r="J8" s="22" t="s">
        <v>88</v>
      </c>
      <c r="K8" s="22" t="s">
        <v>119</v>
      </c>
      <c r="L8" s="22"/>
      <c r="M8" s="22"/>
      <c r="N8" s="25"/>
      <c r="O8" s="22" t="s">
        <v>91</v>
      </c>
      <c r="P8" s="25"/>
      <c r="Q8" s="23">
        <v>70</v>
      </c>
      <c r="R8" s="23">
        <v>70</v>
      </c>
      <c r="S8" s="23">
        <v>0</v>
      </c>
      <c r="T8" s="23">
        <v>0</v>
      </c>
      <c r="U8" s="52">
        <v>0</v>
      </c>
      <c r="V8" s="52">
        <v>0</v>
      </c>
      <c r="W8" s="52">
        <v>20</v>
      </c>
      <c r="X8" s="52">
        <v>20</v>
      </c>
      <c r="Y8" s="52">
        <v>30</v>
      </c>
      <c r="Z8" s="52">
        <v>0</v>
      </c>
      <c r="AA8" s="52">
        <v>0</v>
      </c>
      <c r="AB8" s="52">
        <v>0</v>
      </c>
      <c r="AC8" s="52">
        <v>0</v>
      </c>
      <c r="AD8" s="52">
        <v>0</v>
      </c>
      <c r="AE8" s="52">
        <v>0</v>
      </c>
      <c r="AF8" s="52">
        <f>SUM(Table6[[#This Row],[Programmed Y1 (26-27)]:[Later Years]])</f>
        <v>70</v>
      </c>
      <c r="AG8" s="22" t="s">
        <v>70</v>
      </c>
      <c r="AH8" s="22" t="s">
        <v>58</v>
      </c>
      <c r="AI8" s="23">
        <v>70</v>
      </c>
      <c r="AJ8" s="23">
        <v>0</v>
      </c>
      <c r="AK8" s="23">
        <v>0</v>
      </c>
      <c r="AL8" s="23">
        <v>0</v>
      </c>
      <c r="AM8" s="22" t="s">
        <v>59</v>
      </c>
      <c r="AN8" s="22" t="s">
        <v>168</v>
      </c>
      <c r="AO8" s="22"/>
      <c r="AP8" s="22" t="s">
        <v>169</v>
      </c>
      <c r="AQ8" s="22" t="s">
        <v>169</v>
      </c>
      <c r="AR8" s="23" t="s">
        <v>135</v>
      </c>
      <c r="AS8" s="23" t="s">
        <v>136</v>
      </c>
      <c r="AT8" s="22" t="s">
        <v>63</v>
      </c>
      <c r="AU8" s="22"/>
      <c r="AV8" s="22"/>
    </row>
    <row r="9" spans="1:48" s="1" customFormat="1" ht="69" customHeight="1">
      <c r="A9" s="15" t="s">
        <v>170</v>
      </c>
      <c r="B9" s="22" t="s">
        <v>171</v>
      </c>
      <c r="C9" s="23" t="s">
        <v>172</v>
      </c>
      <c r="D9" s="22" t="s">
        <v>173</v>
      </c>
      <c r="E9" s="22" t="s">
        <v>174</v>
      </c>
      <c r="F9" s="23">
        <v>343913</v>
      </c>
      <c r="G9" s="23">
        <v>733373</v>
      </c>
      <c r="H9" s="24">
        <v>1.3369033708221649</v>
      </c>
      <c r="I9" s="25">
        <v>40269</v>
      </c>
      <c r="J9" s="22" t="s">
        <v>88</v>
      </c>
      <c r="K9" s="22" t="s">
        <v>119</v>
      </c>
      <c r="L9" s="22"/>
      <c r="M9" s="22"/>
      <c r="N9" s="25"/>
      <c r="O9" s="22" t="s">
        <v>91</v>
      </c>
      <c r="P9" s="25"/>
      <c r="Q9" s="23">
        <v>30</v>
      </c>
      <c r="R9" s="23">
        <v>30</v>
      </c>
      <c r="S9" s="23">
        <v>0</v>
      </c>
      <c r="T9" s="23">
        <v>0</v>
      </c>
      <c r="U9" s="52">
        <v>0</v>
      </c>
      <c r="V9" s="52">
        <v>0</v>
      </c>
      <c r="W9" s="52">
        <v>0</v>
      </c>
      <c r="X9" s="52">
        <v>15</v>
      </c>
      <c r="Y9" s="52">
        <v>15</v>
      </c>
      <c r="Z9" s="52">
        <v>0</v>
      </c>
      <c r="AA9" s="52">
        <v>0</v>
      </c>
      <c r="AB9" s="52">
        <v>0</v>
      </c>
      <c r="AC9" s="52">
        <v>0</v>
      </c>
      <c r="AD9" s="52">
        <v>0</v>
      </c>
      <c r="AE9" s="52">
        <v>0</v>
      </c>
      <c r="AF9" s="52">
        <f>SUM(Table6[[#This Row],[Programmed Y1 (26-27)]:[Later Years]])</f>
        <v>30</v>
      </c>
      <c r="AG9" s="22" t="s">
        <v>70</v>
      </c>
      <c r="AH9" s="22" t="s">
        <v>58</v>
      </c>
      <c r="AI9" s="23">
        <v>30</v>
      </c>
      <c r="AJ9" s="23">
        <v>0</v>
      </c>
      <c r="AK9" s="23">
        <v>0</v>
      </c>
      <c r="AL9" s="23">
        <v>0</v>
      </c>
      <c r="AM9" s="22" t="s">
        <v>59</v>
      </c>
      <c r="AN9" s="22" t="s">
        <v>168</v>
      </c>
      <c r="AO9" s="22"/>
      <c r="AP9" s="22" t="s">
        <v>169</v>
      </c>
      <c r="AQ9" s="22" t="s">
        <v>169</v>
      </c>
      <c r="AR9" s="23" t="s">
        <v>135</v>
      </c>
      <c r="AS9" s="23" t="s">
        <v>63</v>
      </c>
      <c r="AT9" s="22" t="s">
        <v>63</v>
      </c>
      <c r="AU9" s="22"/>
      <c r="AV9" s="22"/>
    </row>
    <row r="10" spans="1:48" s="1" customFormat="1" ht="14.45">
      <c r="A10" s="15" t="s">
        <v>175</v>
      </c>
      <c r="B10" s="22" t="s">
        <v>176</v>
      </c>
      <c r="C10" s="23" t="s">
        <v>177</v>
      </c>
      <c r="D10" s="22" t="s">
        <v>178</v>
      </c>
      <c r="E10" s="22" t="s">
        <v>179</v>
      </c>
      <c r="F10" s="23">
        <v>343320</v>
      </c>
      <c r="G10" s="23">
        <v>733503</v>
      </c>
      <c r="H10" s="24">
        <v>3.7587591557432551</v>
      </c>
      <c r="I10" s="25">
        <v>40269</v>
      </c>
      <c r="J10" s="22" t="s">
        <v>88</v>
      </c>
      <c r="K10" s="22" t="s">
        <v>54</v>
      </c>
      <c r="L10" s="22"/>
      <c r="M10" s="22" t="s">
        <v>180</v>
      </c>
      <c r="N10" s="25">
        <v>44911</v>
      </c>
      <c r="O10" s="22" t="s">
        <v>56</v>
      </c>
      <c r="P10" s="25">
        <v>45880</v>
      </c>
      <c r="Q10" s="23">
        <v>70</v>
      </c>
      <c r="R10" s="23">
        <v>70</v>
      </c>
      <c r="S10" s="23">
        <v>0</v>
      </c>
      <c r="T10" s="23">
        <v>0</v>
      </c>
      <c r="U10" s="52">
        <v>0</v>
      </c>
      <c r="V10" s="52">
        <v>0</v>
      </c>
      <c r="W10" s="52">
        <v>0</v>
      </c>
      <c r="X10" s="52">
        <v>17</v>
      </c>
      <c r="Y10" s="52">
        <v>22</v>
      </c>
      <c r="Z10" s="52">
        <v>31</v>
      </c>
      <c r="AA10" s="52"/>
      <c r="AB10" s="52">
        <v>0</v>
      </c>
      <c r="AC10" s="52">
        <v>0</v>
      </c>
      <c r="AD10" s="52">
        <v>0</v>
      </c>
      <c r="AE10" s="52">
        <v>0</v>
      </c>
      <c r="AF10" s="52">
        <f>SUM(Table6[[#This Row],[Programmed Y1 (26-27)]:[Later Years]])</f>
        <v>70</v>
      </c>
      <c r="AG10" s="22" t="s">
        <v>99</v>
      </c>
      <c r="AH10" s="22" t="s">
        <v>58</v>
      </c>
      <c r="AI10" s="23">
        <v>70</v>
      </c>
      <c r="AJ10" s="23">
        <v>0</v>
      </c>
      <c r="AK10" s="23">
        <v>0</v>
      </c>
      <c r="AL10" s="23">
        <v>0</v>
      </c>
      <c r="AM10" s="22" t="s">
        <v>59</v>
      </c>
      <c r="AN10" s="22" t="s">
        <v>60</v>
      </c>
      <c r="AO10" s="22"/>
      <c r="AP10" s="22" t="s">
        <v>169</v>
      </c>
      <c r="AQ10" s="22" t="s">
        <v>169</v>
      </c>
      <c r="AR10" s="23" t="s">
        <v>135</v>
      </c>
      <c r="AS10" s="23" t="s">
        <v>136</v>
      </c>
      <c r="AT10" s="22" t="s">
        <v>63</v>
      </c>
      <c r="AU10" s="22"/>
      <c r="AV10" s="22"/>
    </row>
    <row r="11" spans="1:48" s="1" customFormat="1" ht="14.45">
      <c r="A11" s="15" t="s">
        <v>181</v>
      </c>
      <c r="B11" s="22" t="s">
        <v>182</v>
      </c>
      <c r="C11" s="23" t="s">
        <v>183</v>
      </c>
      <c r="D11" s="22" t="s">
        <v>184</v>
      </c>
      <c r="E11" s="22" t="s">
        <v>185</v>
      </c>
      <c r="F11" s="23">
        <v>343056</v>
      </c>
      <c r="G11" s="23">
        <v>733375</v>
      </c>
      <c r="H11" s="24">
        <v>1.827373365946821</v>
      </c>
      <c r="I11" s="25">
        <v>40269</v>
      </c>
      <c r="J11" s="22" t="s">
        <v>88</v>
      </c>
      <c r="K11" s="22" t="s">
        <v>119</v>
      </c>
      <c r="L11" s="22" t="s">
        <v>186</v>
      </c>
      <c r="M11" s="22" t="s">
        <v>187</v>
      </c>
      <c r="N11" s="25">
        <v>45182</v>
      </c>
      <c r="O11" s="56" t="s">
        <v>91</v>
      </c>
      <c r="P11" s="25"/>
      <c r="Q11" s="23">
        <v>30</v>
      </c>
      <c r="R11" s="23">
        <v>30</v>
      </c>
      <c r="S11" s="23">
        <v>0</v>
      </c>
      <c r="T11" s="23">
        <v>0</v>
      </c>
      <c r="U11" s="52">
        <v>0</v>
      </c>
      <c r="V11" s="52">
        <v>0</v>
      </c>
      <c r="W11" s="52">
        <v>30</v>
      </c>
      <c r="X11" s="52">
        <v>0</v>
      </c>
      <c r="Y11" s="52">
        <v>0</v>
      </c>
      <c r="Z11" s="52">
        <v>0</v>
      </c>
      <c r="AA11" s="52">
        <v>0</v>
      </c>
      <c r="AB11" s="52">
        <v>0</v>
      </c>
      <c r="AC11" s="52">
        <v>0</v>
      </c>
      <c r="AD11" s="52">
        <v>0</v>
      </c>
      <c r="AE11" s="52">
        <v>0</v>
      </c>
      <c r="AF11" s="52">
        <f>SUM(Table6[[#This Row],[Programmed Y1 (26-27)]:[Later Years]])</f>
        <v>30</v>
      </c>
      <c r="AG11" s="22" t="s">
        <v>57</v>
      </c>
      <c r="AH11" s="22" t="s">
        <v>188</v>
      </c>
      <c r="AI11" s="23">
        <v>18</v>
      </c>
      <c r="AJ11" s="23">
        <v>12</v>
      </c>
      <c r="AK11" s="23">
        <v>12</v>
      </c>
      <c r="AL11" s="23">
        <v>18</v>
      </c>
      <c r="AM11" s="22" t="s">
        <v>59</v>
      </c>
      <c r="AN11" s="22" t="s">
        <v>60</v>
      </c>
      <c r="AO11" s="22"/>
      <c r="AP11" s="22" t="s">
        <v>169</v>
      </c>
      <c r="AQ11" s="22" t="s">
        <v>169</v>
      </c>
      <c r="AR11" s="23" t="s">
        <v>135</v>
      </c>
      <c r="AS11" s="23" t="s">
        <v>136</v>
      </c>
      <c r="AT11" s="22" t="s">
        <v>63</v>
      </c>
      <c r="AU11" s="22"/>
      <c r="AV11" s="22"/>
    </row>
    <row r="12" spans="1:48" s="1" customFormat="1" ht="29.1">
      <c r="A12" s="15" t="s">
        <v>189</v>
      </c>
      <c r="B12" s="22" t="s">
        <v>190</v>
      </c>
      <c r="C12" s="23" t="s">
        <v>191</v>
      </c>
      <c r="D12" s="22" t="s">
        <v>192</v>
      </c>
      <c r="E12" s="22" t="s">
        <v>193</v>
      </c>
      <c r="F12" s="23">
        <v>340509</v>
      </c>
      <c r="G12" s="23">
        <v>729995</v>
      </c>
      <c r="H12" s="24">
        <v>23.969417277557231</v>
      </c>
      <c r="I12" s="25">
        <v>40634</v>
      </c>
      <c r="J12" s="22" t="s">
        <v>88</v>
      </c>
      <c r="K12" s="22" t="s">
        <v>54</v>
      </c>
      <c r="L12" s="22"/>
      <c r="M12" s="22" t="s">
        <v>194</v>
      </c>
      <c r="N12" s="25">
        <v>44120</v>
      </c>
      <c r="O12" s="22" t="s">
        <v>56</v>
      </c>
      <c r="P12" s="25">
        <v>44851</v>
      </c>
      <c r="Q12" s="23">
        <v>276</v>
      </c>
      <c r="R12" s="23">
        <v>276</v>
      </c>
      <c r="S12" s="23">
        <v>0</v>
      </c>
      <c r="T12" s="23">
        <v>0</v>
      </c>
      <c r="U12" s="52">
        <v>0</v>
      </c>
      <c r="V12" s="52">
        <v>0</v>
      </c>
      <c r="W12" s="52">
        <v>0</v>
      </c>
      <c r="X12" s="52">
        <v>60</v>
      </c>
      <c r="Y12" s="52">
        <v>70</v>
      </c>
      <c r="Z12" s="52">
        <v>70</v>
      </c>
      <c r="AA12" s="52">
        <v>76</v>
      </c>
      <c r="AB12" s="52">
        <v>0</v>
      </c>
      <c r="AC12" s="52">
        <v>0</v>
      </c>
      <c r="AD12" s="52">
        <v>0</v>
      </c>
      <c r="AE12" s="52">
        <v>0</v>
      </c>
      <c r="AF12" s="52">
        <f>SUM(Table6[[#This Row],[Programmed Y1 (26-27)]:[Later Years]])</f>
        <v>276</v>
      </c>
      <c r="AG12" s="22" t="s">
        <v>99</v>
      </c>
      <c r="AH12" s="22" t="s">
        <v>188</v>
      </c>
      <c r="AI12" s="23"/>
      <c r="AJ12" s="23"/>
      <c r="AK12" s="23">
        <v>276</v>
      </c>
      <c r="AL12" s="23">
        <v>0</v>
      </c>
      <c r="AM12" s="22" t="s">
        <v>59</v>
      </c>
      <c r="AN12" s="22" t="s">
        <v>60</v>
      </c>
      <c r="AO12" s="22"/>
      <c r="AP12" s="22" t="s">
        <v>169</v>
      </c>
      <c r="AQ12" s="22" t="s">
        <v>169</v>
      </c>
      <c r="AR12" s="23" t="s">
        <v>135</v>
      </c>
      <c r="AS12" s="23" t="s">
        <v>136</v>
      </c>
      <c r="AT12" s="22" t="s">
        <v>63</v>
      </c>
      <c r="AU12" s="22"/>
      <c r="AV12" s="22"/>
    </row>
    <row r="13" spans="1:48" s="1" customFormat="1" ht="29.1">
      <c r="A13" s="15" t="s">
        <v>195</v>
      </c>
      <c r="B13" s="22" t="s">
        <v>196</v>
      </c>
      <c r="C13" s="23" t="s">
        <v>197</v>
      </c>
      <c r="D13" s="22" t="s">
        <v>198</v>
      </c>
      <c r="E13" s="22" t="s">
        <v>199</v>
      </c>
      <c r="F13" s="23">
        <v>341769</v>
      </c>
      <c r="G13" s="23">
        <v>732646</v>
      </c>
      <c r="H13" s="24">
        <v>1.457719905112667</v>
      </c>
      <c r="I13" s="25">
        <v>40634</v>
      </c>
      <c r="J13" s="22" t="s">
        <v>88</v>
      </c>
      <c r="K13" s="22" t="s">
        <v>200</v>
      </c>
      <c r="L13" s="22" t="s">
        <v>186</v>
      </c>
      <c r="M13" s="22" t="s">
        <v>201</v>
      </c>
      <c r="N13" s="25"/>
      <c r="O13" s="22" t="s">
        <v>91</v>
      </c>
      <c r="P13" s="25"/>
      <c r="Q13" s="23">
        <v>30</v>
      </c>
      <c r="R13" s="23">
        <v>30</v>
      </c>
      <c r="S13" s="23">
        <v>0</v>
      </c>
      <c r="T13" s="23">
        <v>0</v>
      </c>
      <c r="U13" s="52">
        <v>0</v>
      </c>
      <c r="V13" s="52">
        <v>30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2">
        <v>0</v>
      </c>
      <c r="AC13" s="52">
        <v>0</v>
      </c>
      <c r="AD13" s="52">
        <v>0</v>
      </c>
      <c r="AE13" s="52">
        <v>0</v>
      </c>
      <c r="AF13" s="52">
        <f>SUM(Table6[[#This Row],[Programmed Y1 (26-27)]:[Later Years]])</f>
        <v>30</v>
      </c>
      <c r="AG13" s="22" t="s">
        <v>57</v>
      </c>
      <c r="AH13" s="22" t="s">
        <v>202</v>
      </c>
      <c r="AI13" s="23">
        <v>0</v>
      </c>
      <c r="AJ13" s="23">
        <v>30</v>
      </c>
      <c r="AK13" s="23">
        <v>0</v>
      </c>
      <c r="AL13" s="23">
        <v>30</v>
      </c>
      <c r="AM13" s="22" t="s">
        <v>59</v>
      </c>
      <c r="AN13" s="22" t="s">
        <v>168</v>
      </c>
      <c r="AO13" s="22" t="s">
        <v>203</v>
      </c>
      <c r="AP13" s="53" t="s">
        <v>204</v>
      </c>
      <c r="AQ13" s="22" t="s">
        <v>204</v>
      </c>
      <c r="AR13" s="23" t="s">
        <v>135</v>
      </c>
      <c r="AS13" s="23" t="s">
        <v>136</v>
      </c>
      <c r="AT13" s="22" t="s">
        <v>63</v>
      </c>
      <c r="AU13" s="22"/>
      <c r="AV13" s="22"/>
    </row>
    <row r="14" spans="1:48" s="1" customFormat="1" ht="39.6" customHeight="1">
      <c r="A14" s="15" t="s">
        <v>205</v>
      </c>
      <c r="B14" s="22" t="s">
        <v>206</v>
      </c>
      <c r="C14" s="23" t="s">
        <v>207</v>
      </c>
      <c r="D14" s="22" t="s">
        <v>208</v>
      </c>
      <c r="E14" s="22" t="s">
        <v>209</v>
      </c>
      <c r="F14" s="23">
        <v>341048</v>
      </c>
      <c r="G14" s="23">
        <v>733472</v>
      </c>
      <c r="H14" s="24">
        <v>0.63833024999962462</v>
      </c>
      <c r="I14" s="25">
        <v>41000</v>
      </c>
      <c r="J14" s="22" t="s">
        <v>88</v>
      </c>
      <c r="K14" s="22" t="s">
        <v>119</v>
      </c>
      <c r="L14" s="22" t="s">
        <v>186</v>
      </c>
      <c r="M14" s="22" t="s">
        <v>210</v>
      </c>
      <c r="N14" s="25"/>
      <c r="O14" s="22" t="s">
        <v>91</v>
      </c>
      <c r="P14" s="25"/>
      <c r="Q14" s="23">
        <v>10</v>
      </c>
      <c r="R14" s="23">
        <v>10</v>
      </c>
      <c r="S14" s="23">
        <v>0</v>
      </c>
      <c r="T14" s="23">
        <v>0</v>
      </c>
      <c r="U14" s="52">
        <v>0</v>
      </c>
      <c r="V14" s="52">
        <v>0</v>
      </c>
      <c r="W14" s="52">
        <v>0</v>
      </c>
      <c r="X14" s="52">
        <v>0</v>
      </c>
      <c r="Y14" s="52">
        <v>0</v>
      </c>
      <c r="Z14" s="52">
        <v>0</v>
      </c>
      <c r="AA14" s="52">
        <v>0</v>
      </c>
      <c r="AB14" s="52">
        <v>0</v>
      </c>
      <c r="AC14" s="52">
        <v>0</v>
      </c>
      <c r="AD14" s="52">
        <v>0</v>
      </c>
      <c r="AE14" s="52">
        <v>10</v>
      </c>
      <c r="AF14" s="52">
        <f>SUM(Table6[[#This Row],[Programmed Y1 (26-27)]:[Later Years]])</f>
        <v>10</v>
      </c>
      <c r="AG14" s="22" t="s">
        <v>211</v>
      </c>
      <c r="AH14" s="22" t="s">
        <v>58</v>
      </c>
      <c r="AI14" s="23">
        <v>10</v>
      </c>
      <c r="AJ14" s="23">
        <v>0</v>
      </c>
      <c r="AK14" s="23">
        <v>0</v>
      </c>
      <c r="AL14" s="23">
        <v>0</v>
      </c>
      <c r="AM14" s="22" t="s">
        <v>59</v>
      </c>
      <c r="AN14" s="22" t="s">
        <v>60</v>
      </c>
      <c r="AO14" s="22"/>
      <c r="AP14" s="22" t="s">
        <v>169</v>
      </c>
      <c r="AQ14" s="22" t="s">
        <v>169</v>
      </c>
      <c r="AR14" s="23" t="s">
        <v>135</v>
      </c>
      <c r="AS14" s="23" t="s">
        <v>136</v>
      </c>
      <c r="AT14" s="22" t="s">
        <v>63</v>
      </c>
      <c r="AU14" s="22"/>
      <c r="AV14" s="22"/>
    </row>
    <row r="15" spans="1:48" s="1" customFormat="1" ht="14.45">
      <c r="A15" s="15" t="s">
        <v>212</v>
      </c>
      <c r="B15" s="22" t="s">
        <v>213</v>
      </c>
      <c r="C15" s="23" t="s">
        <v>214</v>
      </c>
      <c r="D15" s="22" t="s">
        <v>215</v>
      </c>
      <c r="E15" s="22" t="s">
        <v>216</v>
      </c>
      <c r="F15" s="23">
        <v>337330</v>
      </c>
      <c r="G15" s="23">
        <v>731477</v>
      </c>
      <c r="H15" s="24">
        <v>1.781801571444638</v>
      </c>
      <c r="I15" s="25">
        <v>41730</v>
      </c>
      <c r="J15" s="22" t="s">
        <v>88</v>
      </c>
      <c r="K15" s="22" t="s">
        <v>54</v>
      </c>
      <c r="L15" s="22"/>
      <c r="M15" s="22" t="s">
        <v>217</v>
      </c>
      <c r="N15" s="25">
        <v>45231</v>
      </c>
      <c r="O15" s="22" t="s">
        <v>91</v>
      </c>
      <c r="P15" s="25"/>
      <c r="Q15" s="23">
        <v>39</v>
      </c>
      <c r="R15" s="23">
        <v>39</v>
      </c>
      <c r="S15" s="23">
        <v>0</v>
      </c>
      <c r="T15" s="23">
        <v>0</v>
      </c>
      <c r="U15" s="52">
        <v>0</v>
      </c>
      <c r="V15" s="52">
        <v>20</v>
      </c>
      <c r="W15" s="52">
        <v>19</v>
      </c>
      <c r="X15" s="52">
        <v>0</v>
      </c>
      <c r="Y15" s="52">
        <v>0</v>
      </c>
      <c r="Z15" s="52">
        <v>0</v>
      </c>
      <c r="AA15" s="52">
        <v>0</v>
      </c>
      <c r="AB15" s="52">
        <v>0</v>
      </c>
      <c r="AC15" s="52">
        <v>0</v>
      </c>
      <c r="AD15" s="52">
        <v>0</v>
      </c>
      <c r="AE15" s="52">
        <v>0</v>
      </c>
      <c r="AF15" s="52">
        <f>SUM(Table6[[#This Row],[Programmed Y1 (26-27)]:[Later Years]])</f>
        <v>39</v>
      </c>
      <c r="AG15" s="22" t="s">
        <v>57</v>
      </c>
      <c r="AH15" s="22" t="s">
        <v>58</v>
      </c>
      <c r="AI15" s="23">
        <v>39</v>
      </c>
      <c r="AJ15" s="23">
        <v>0</v>
      </c>
      <c r="AK15" s="23">
        <v>0</v>
      </c>
      <c r="AL15" s="23">
        <v>39</v>
      </c>
      <c r="AM15" s="22" t="s">
        <v>59</v>
      </c>
      <c r="AN15" s="22" t="s">
        <v>60</v>
      </c>
      <c r="AO15" s="22"/>
      <c r="AP15" s="22" t="s">
        <v>154</v>
      </c>
      <c r="AQ15" s="22" t="s">
        <v>154</v>
      </c>
      <c r="AR15" s="23" t="s">
        <v>135</v>
      </c>
      <c r="AS15" s="23" t="s">
        <v>136</v>
      </c>
      <c r="AT15" s="22" t="s">
        <v>63</v>
      </c>
      <c r="AU15" s="22"/>
      <c r="AV15" s="22"/>
    </row>
    <row r="16" spans="1:48" s="1" customFormat="1" ht="29.1">
      <c r="A16" s="15" t="s">
        <v>218</v>
      </c>
      <c r="B16" s="22" t="s">
        <v>219</v>
      </c>
      <c r="C16" s="23" t="s">
        <v>220</v>
      </c>
      <c r="D16" s="22" t="s">
        <v>221</v>
      </c>
      <c r="E16" s="22" t="s">
        <v>222</v>
      </c>
      <c r="F16" s="23">
        <v>337857</v>
      </c>
      <c r="G16" s="23">
        <v>731572</v>
      </c>
      <c r="H16" s="24">
        <v>6.1423672264843283</v>
      </c>
      <c r="I16" s="25">
        <v>42095</v>
      </c>
      <c r="J16" s="22" t="s">
        <v>88</v>
      </c>
      <c r="K16" s="22" t="s">
        <v>54</v>
      </c>
      <c r="L16" s="22"/>
      <c r="M16" s="22" t="s">
        <v>223</v>
      </c>
      <c r="N16" s="25">
        <v>45050</v>
      </c>
      <c r="O16" s="22" t="s">
        <v>56</v>
      </c>
      <c r="P16" s="25">
        <v>45110</v>
      </c>
      <c r="Q16" s="23">
        <v>40</v>
      </c>
      <c r="R16" s="23">
        <v>38</v>
      </c>
      <c r="S16" s="23">
        <v>0</v>
      </c>
      <c r="T16" s="23">
        <v>2</v>
      </c>
      <c r="U16" s="52">
        <v>0</v>
      </c>
      <c r="V16" s="52">
        <v>38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2">
        <v>0</v>
      </c>
      <c r="AC16" s="52">
        <v>0</v>
      </c>
      <c r="AD16" s="52">
        <v>0</v>
      </c>
      <c r="AE16" s="52">
        <v>0</v>
      </c>
      <c r="AF16" s="52">
        <f>SUM(Table6[[#This Row],[Programmed Y1 (26-27)]:[Later Years]])</f>
        <v>38</v>
      </c>
      <c r="AG16" s="22" t="s">
        <v>57</v>
      </c>
      <c r="AH16" s="22" t="s">
        <v>202</v>
      </c>
      <c r="AI16" s="23">
        <v>0</v>
      </c>
      <c r="AJ16" s="23">
        <v>40</v>
      </c>
      <c r="AK16" s="23">
        <v>0</v>
      </c>
      <c r="AL16" s="23">
        <v>0</v>
      </c>
      <c r="AM16" s="22" t="s">
        <v>59</v>
      </c>
      <c r="AN16" s="22" t="s">
        <v>168</v>
      </c>
      <c r="AO16" s="22" t="s">
        <v>203</v>
      </c>
      <c r="AP16" s="22" t="s">
        <v>169</v>
      </c>
      <c r="AQ16" s="22" t="s">
        <v>224</v>
      </c>
      <c r="AR16" s="23" t="s">
        <v>135</v>
      </c>
      <c r="AS16" s="23" t="s">
        <v>136</v>
      </c>
      <c r="AT16" s="22" t="s">
        <v>63</v>
      </c>
      <c r="AU16" s="22"/>
      <c r="AV16" s="22" t="s">
        <v>225</v>
      </c>
    </row>
    <row r="17" spans="1:48" s="1" customFormat="1" ht="29.1">
      <c r="A17" s="15" t="s">
        <v>226</v>
      </c>
      <c r="B17" s="22" t="s">
        <v>227</v>
      </c>
      <c r="C17" s="23"/>
      <c r="D17" s="22" t="s">
        <v>228</v>
      </c>
      <c r="E17" s="22" t="s">
        <v>229</v>
      </c>
      <c r="F17" s="23">
        <v>339417</v>
      </c>
      <c r="G17" s="23">
        <v>729559</v>
      </c>
      <c r="H17" s="24">
        <v>0.1435043125013046</v>
      </c>
      <c r="I17" s="25">
        <v>43076</v>
      </c>
      <c r="J17" s="22"/>
      <c r="K17" s="22" t="s">
        <v>54</v>
      </c>
      <c r="L17" s="22"/>
      <c r="M17" s="22" t="s">
        <v>230</v>
      </c>
      <c r="N17" s="25">
        <v>43076</v>
      </c>
      <c r="O17" s="22" t="s">
        <v>56</v>
      </c>
      <c r="P17" s="25">
        <v>45229</v>
      </c>
      <c r="Q17" s="23">
        <v>7</v>
      </c>
      <c r="R17" s="23">
        <v>7</v>
      </c>
      <c r="S17" s="23">
        <v>0</v>
      </c>
      <c r="T17" s="23">
        <v>0</v>
      </c>
      <c r="U17" s="52">
        <v>0</v>
      </c>
      <c r="V17" s="52">
        <v>7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2">
        <v>0</v>
      </c>
      <c r="AC17" s="52">
        <v>0</v>
      </c>
      <c r="AD17" s="52">
        <v>0</v>
      </c>
      <c r="AE17" s="52">
        <v>0</v>
      </c>
      <c r="AF17" s="52">
        <f>SUM(Table6[[#This Row],[Programmed Y1 (26-27)]:[Later Years]])</f>
        <v>7</v>
      </c>
      <c r="AG17" s="22" t="s">
        <v>57</v>
      </c>
      <c r="AH17" s="22" t="s">
        <v>58</v>
      </c>
      <c r="AI17" s="23">
        <v>7</v>
      </c>
      <c r="AJ17" s="23">
        <v>0</v>
      </c>
      <c r="AK17" s="23">
        <v>7</v>
      </c>
      <c r="AL17" s="23">
        <v>0</v>
      </c>
      <c r="AM17" s="22" t="s">
        <v>59</v>
      </c>
      <c r="AN17" s="22" t="s">
        <v>60</v>
      </c>
      <c r="AO17" s="22"/>
      <c r="AP17" s="22" t="s">
        <v>231</v>
      </c>
      <c r="AQ17" s="22" t="s">
        <v>231</v>
      </c>
      <c r="AR17" s="23" t="s">
        <v>135</v>
      </c>
      <c r="AS17" s="23" t="s">
        <v>63</v>
      </c>
      <c r="AT17" s="22" t="s">
        <v>63</v>
      </c>
      <c r="AU17" s="22"/>
      <c r="AV17" s="22"/>
    </row>
    <row r="18" spans="1:48" s="1" customFormat="1" ht="29.1">
      <c r="A18" s="15" t="s">
        <v>232</v>
      </c>
      <c r="B18" s="22" t="s">
        <v>233</v>
      </c>
      <c r="C18" s="23" t="s">
        <v>234</v>
      </c>
      <c r="D18" s="22" t="s">
        <v>235</v>
      </c>
      <c r="E18" s="22" t="s">
        <v>236</v>
      </c>
      <c r="F18" s="23">
        <v>340172</v>
      </c>
      <c r="G18" s="23">
        <v>731036</v>
      </c>
      <c r="H18" s="24">
        <v>0.61366990988215697</v>
      </c>
      <c r="I18" s="25">
        <v>43191</v>
      </c>
      <c r="J18" s="22" t="s">
        <v>88</v>
      </c>
      <c r="K18" s="22" t="s">
        <v>119</v>
      </c>
      <c r="L18" s="22"/>
      <c r="M18" s="22"/>
      <c r="N18" s="25"/>
      <c r="O18" s="22" t="s">
        <v>91</v>
      </c>
      <c r="P18" s="25"/>
      <c r="Q18" s="23">
        <v>30</v>
      </c>
      <c r="R18" s="23">
        <v>30</v>
      </c>
      <c r="S18" s="23">
        <v>0</v>
      </c>
      <c r="T18" s="23">
        <v>0</v>
      </c>
      <c r="U18" s="52">
        <v>0</v>
      </c>
      <c r="V18" s="52">
        <v>0</v>
      </c>
      <c r="W18" s="52">
        <v>0</v>
      </c>
      <c r="X18" s="52">
        <v>0</v>
      </c>
      <c r="Y18" s="52">
        <v>15</v>
      </c>
      <c r="Z18" s="52">
        <v>15</v>
      </c>
      <c r="AA18" s="52">
        <v>0</v>
      </c>
      <c r="AB18" s="52">
        <v>0</v>
      </c>
      <c r="AC18" s="52">
        <v>0</v>
      </c>
      <c r="AD18" s="52">
        <v>0</v>
      </c>
      <c r="AE18" s="52">
        <v>0</v>
      </c>
      <c r="AF18" s="52">
        <f>SUM(Table6[[#This Row],[Programmed Y1 (26-27)]:[Later Years]])</f>
        <v>30</v>
      </c>
      <c r="AG18" s="22" t="s">
        <v>70</v>
      </c>
      <c r="AH18" s="22" t="s">
        <v>58</v>
      </c>
      <c r="AI18" s="23">
        <v>30</v>
      </c>
      <c r="AJ18" s="23">
        <v>0</v>
      </c>
      <c r="AK18" s="23">
        <v>0</v>
      </c>
      <c r="AL18" s="23">
        <v>0</v>
      </c>
      <c r="AM18" s="22" t="s">
        <v>59</v>
      </c>
      <c r="AN18" s="22" t="s">
        <v>168</v>
      </c>
      <c r="AO18" s="22" t="s">
        <v>203</v>
      </c>
      <c r="AP18" s="22" t="s">
        <v>169</v>
      </c>
      <c r="AQ18" s="22" t="s">
        <v>169</v>
      </c>
      <c r="AR18" s="23" t="s">
        <v>135</v>
      </c>
      <c r="AS18" s="23" t="s">
        <v>136</v>
      </c>
      <c r="AT18" s="22" t="s">
        <v>63</v>
      </c>
      <c r="AU18" s="22"/>
      <c r="AV18" s="22"/>
    </row>
    <row r="19" spans="1:48" s="1" customFormat="1" ht="29.1">
      <c r="A19" s="15" t="s">
        <v>237</v>
      </c>
      <c r="B19" s="22" t="s">
        <v>238</v>
      </c>
      <c r="C19" s="23" t="s">
        <v>239</v>
      </c>
      <c r="D19" s="22" t="s">
        <v>240</v>
      </c>
      <c r="E19" s="22" t="s">
        <v>241</v>
      </c>
      <c r="F19" s="23">
        <v>335665</v>
      </c>
      <c r="G19" s="23">
        <v>731239</v>
      </c>
      <c r="H19" s="24">
        <v>1.6696998933609879</v>
      </c>
      <c r="I19" s="25">
        <v>43191</v>
      </c>
      <c r="J19" s="22" t="s">
        <v>88</v>
      </c>
      <c r="K19" s="22" t="s">
        <v>200</v>
      </c>
      <c r="L19" s="22"/>
      <c r="M19" s="22" t="s">
        <v>242</v>
      </c>
      <c r="N19" s="25">
        <v>45489</v>
      </c>
      <c r="O19" s="22" t="s">
        <v>91</v>
      </c>
      <c r="P19" s="25"/>
      <c r="Q19" s="23">
        <v>35</v>
      </c>
      <c r="R19" s="23">
        <v>35</v>
      </c>
      <c r="S19" s="23">
        <v>0</v>
      </c>
      <c r="T19" s="23">
        <v>0</v>
      </c>
      <c r="U19" s="52">
        <v>35</v>
      </c>
      <c r="V19" s="52">
        <v>0</v>
      </c>
      <c r="W19" s="52">
        <v>0</v>
      </c>
      <c r="X19" s="52">
        <v>0</v>
      </c>
      <c r="Y19" s="52">
        <v>0</v>
      </c>
      <c r="Z19" s="52">
        <v>0</v>
      </c>
      <c r="AA19" s="52">
        <v>0</v>
      </c>
      <c r="AB19" s="52">
        <v>0</v>
      </c>
      <c r="AC19" s="52">
        <v>0</v>
      </c>
      <c r="AD19" s="52">
        <v>0</v>
      </c>
      <c r="AE19" s="52">
        <v>0</v>
      </c>
      <c r="AF19" s="52">
        <f>SUM(Table6[[#This Row],[Programmed Y1 (26-27)]:[Later Years]])</f>
        <v>35</v>
      </c>
      <c r="AG19" s="22" t="s">
        <v>57</v>
      </c>
      <c r="AH19" s="22" t="s">
        <v>202</v>
      </c>
      <c r="AI19" s="23">
        <v>0</v>
      </c>
      <c r="AJ19" s="23">
        <v>35</v>
      </c>
      <c r="AK19" s="23">
        <v>0</v>
      </c>
      <c r="AL19" s="23">
        <v>0</v>
      </c>
      <c r="AM19" s="22" t="s">
        <v>59</v>
      </c>
      <c r="AN19" s="22" t="s">
        <v>60</v>
      </c>
      <c r="AO19" s="22"/>
      <c r="AP19" s="22" t="s">
        <v>169</v>
      </c>
      <c r="AQ19" s="22" t="s">
        <v>243</v>
      </c>
      <c r="AR19" s="23" t="s">
        <v>135</v>
      </c>
      <c r="AS19" s="23" t="s">
        <v>136</v>
      </c>
      <c r="AT19" s="22" t="s">
        <v>63</v>
      </c>
      <c r="AU19" s="22"/>
      <c r="AV19" s="22" t="s">
        <v>244</v>
      </c>
    </row>
    <row r="20" spans="1:48" s="1" customFormat="1" ht="43.5" customHeight="1">
      <c r="A20" s="15" t="s">
        <v>245</v>
      </c>
      <c r="B20" s="22" t="s">
        <v>246</v>
      </c>
      <c r="C20" s="23" t="s">
        <v>247</v>
      </c>
      <c r="D20" s="22" t="s">
        <v>248</v>
      </c>
      <c r="E20" s="22" t="s">
        <v>249</v>
      </c>
      <c r="F20" s="23">
        <v>336897</v>
      </c>
      <c r="G20" s="23">
        <v>731187</v>
      </c>
      <c r="H20" s="24">
        <v>1.9737722987933111</v>
      </c>
      <c r="I20" s="25">
        <v>43191</v>
      </c>
      <c r="J20" s="22" t="s">
        <v>88</v>
      </c>
      <c r="K20" s="22" t="s">
        <v>200</v>
      </c>
      <c r="L20" s="22" t="s">
        <v>186</v>
      </c>
      <c r="M20" s="22" t="s">
        <v>250</v>
      </c>
      <c r="N20" s="25"/>
      <c r="O20" s="22" t="s">
        <v>91</v>
      </c>
      <c r="P20" s="25"/>
      <c r="Q20" s="23">
        <v>45</v>
      </c>
      <c r="R20" s="23">
        <v>45</v>
      </c>
      <c r="S20" s="23">
        <v>0</v>
      </c>
      <c r="T20" s="23">
        <v>0</v>
      </c>
      <c r="U20" s="52">
        <v>0</v>
      </c>
      <c r="V20" s="52">
        <v>15</v>
      </c>
      <c r="W20" s="52">
        <v>30</v>
      </c>
      <c r="X20" s="52">
        <v>0</v>
      </c>
      <c r="Y20" s="52">
        <v>0</v>
      </c>
      <c r="Z20" s="52">
        <v>0</v>
      </c>
      <c r="AA20" s="52">
        <v>0</v>
      </c>
      <c r="AB20" s="52">
        <v>0</v>
      </c>
      <c r="AC20" s="52">
        <v>0</v>
      </c>
      <c r="AD20" s="52">
        <v>0</v>
      </c>
      <c r="AE20" s="52">
        <v>0</v>
      </c>
      <c r="AF20" s="52">
        <f>SUM(Table6[[#This Row],[Programmed Y1 (26-27)]:[Later Years]])</f>
        <v>45</v>
      </c>
      <c r="AG20" s="22" t="s">
        <v>57</v>
      </c>
      <c r="AH20" s="22" t="s">
        <v>58</v>
      </c>
      <c r="AI20" s="23">
        <v>45</v>
      </c>
      <c r="AJ20" s="23">
        <v>0</v>
      </c>
      <c r="AK20" s="23">
        <v>0</v>
      </c>
      <c r="AL20" s="23">
        <v>0</v>
      </c>
      <c r="AM20" s="22" t="s">
        <v>59</v>
      </c>
      <c r="AN20" s="22" t="s">
        <v>60</v>
      </c>
      <c r="AO20" s="22"/>
      <c r="AP20" s="22" t="s">
        <v>169</v>
      </c>
      <c r="AQ20" s="22" t="s">
        <v>154</v>
      </c>
      <c r="AR20" s="23" t="s">
        <v>135</v>
      </c>
      <c r="AS20" s="23" t="s">
        <v>136</v>
      </c>
      <c r="AT20" s="22" t="s">
        <v>63</v>
      </c>
      <c r="AU20" s="22"/>
      <c r="AV20" s="22" t="s">
        <v>251</v>
      </c>
    </row>
    <row r="21" spans="1:48" s="1" customFormat="1" ht="29.1">
      <c r="A21" s="15" t="s">
        <v>252</v>
      </c>
      <c r="B21" s="22" t="s">
        <v>253</v>
      </c>
      <c r="C21" s="23" t="s">
        <v>254</v>
      </c>
      <c r="D21" s="22" t="s">
        <v>255</v>
      </c>
      <c r="E21" s="22" t="s">
        <v>256</v>
      </c>
      <c r="F21" s="23">
        <v>337998</v>
      </c>
      <c r="G21" s="23">
        <v>731337</v>
      </c>
      <c r="H21" s="24">
        <v>0.36187165469084093</v>
      </c>
      <c r="I21" s="25">
        <v>43191</v>
      </c>
      <c r="J21" s="22" t="s">
        <v>88</v>
      </c>
      <c r="K21" s="22" t="s">
        <v>119</v>
      </c>
      <c r="L21" s="22"/>
      <c r="M21" s="22"/>
      <c r="N21" s="25"/>
      <c r="O21" s="22" t="s">
        <v>91</v>
      </c>
      <c r="P21" s="25"/>
      <c r="Q21" s="23">
        <v>10</v>
      </c>
      <c r="R21" s="23">
        <v>10</v>
      </c>
      <c r="S21" s="23">
        <v>0</v>
      </c>
      <c r="T21" s="23">
        <v>0</v>
      </c>
      <c r="U21" s="52">
        <v>0</v>
      </c>
      <c r="V21" s="52">
        <v>10</v>
      </c>
      <c r="W21" s="52">
        <v>0</v>
      </c>
      <c r="X21" s="52">
        <v>0</v>
      </c>
      <c r="Y21" s="52">
        <v>0</v>
      </c>
      <c r="Z21" s="52">
        <v>0</v>
      </c>
      <c r="AA21" s="52">
        <v>0</v>
      </c>
      <c r="AB21" s="52">
        <v>0</v>
      </c>
      <c r="AC21" s="52">
        <v>0</v>
      </c>
      <c r="AD21" s="52">
        <v>0</v>
      </c>
      <c r="AE21" s="52">
        <v>0</v>
      </c>
      <c r="AF21" s="52">
        <f>SUM(Table6[[#This Row],[Programmed Y1 (26-27)]:[Later Years]])</f>
        <v>10</v>
      </c>
      <c r="AG21" s="22" t="s">
        <v>57</v>
      </c>
      <c r="AH21" s="22" t="s">
        <v>202</v>
      </c>
      <c r="AI21" s="23">
        <v>0</v>
      </c>
      <c r="AJ21" s="23">
        <v>10</v>
      </c>
      <c r="AK21" s="23">
        <v>0</v>
      </c>
      <c r="AL21" s="23">
        <v>0</v>
      </c>
      <c r="AM21" s="22" t="s">
        <v>59</v>
      </c>
      <c r="AN21" s="22" t="s">
        <v>168</v>
      </c>
      <c r="AO21" s="22" t="s">
        <v>257</v>
      </c>
      <c r="AP21" s="22" t="s">
        <v>169</v>
      </c>
      <c r="AQ21" s="22" t="s">
        <v>224</v>
      </c>
      <c r="AR21" s="23" t="s">
        <v>135</v>
      </c>
      <c r="AS21" s="23" t="s">
        <v>136</v>
      </c>
      <c r="AT21" s="22" t="s">
        <v>63</v>
      </c>
      <c r="AU21" s="22"/>
      <c r="AV21" s="22" t="s">
        <v>258</v>
      </c>
    </row>
    <row r="22" spans="1:48" s="1" customFormat="1" ht="29.1">
      <c r="A22" s="15" t="s">
        <v>259</v>
      </c>
      <c r="B22" s="22" t="s">
        <v>260</v>
      </c>
      <c r="C22" s="23" t="s">
        <v>261</v>
      </c>
      <c r="D22" s="22" t="s">
        <v>262</v>
      </c>
      <c r="E22" s="22" t="s">
        <v>263</v>
      </c>
      <c r="F22" s="23">
        <v>339111</v>
      </c>
      <c r="G22" s="23">
        <v>733973</v>
      </c>
      <c r="H22" s="24">
        <v>4.9260440653602284</v>
      </c>
      <c r="I22" s="25">
        <v>43191</v>
      </c>
      <c r="J22" s="22" t="s">
        <v>88</v>
      </c>
      <c r="K22" s="22" t="s">
        <v>119</v>
      </c>
      <c r="L22" s="22"/>
      <c r="M22" s="22"/>
      <c r="N22" s="25"/>
      <c r="O22" s="22" t="s">
        <v>91</v>
      </c>
      <c r="P22" s="25"/>
      <c r="Q22" s="23">
        <v>70</v>
      </c>
      <c r="R22" s="23">
        <v>70</v>
      </c>
      <c r="S22" s="23">
        <v>0</v>
      </c>
      <c r="T22" s="23">
        <v>0</v>
      </c>
      <c r="U22" s="52">
        <v>0</v>
      </c>
      <c r="V22" s="52">
        <v>0</v>
      </c>
      <c r="W22" s="52">
        <v>35</v>
      </c>
      <c r="X22" s="52">
        <v>35</v>
      </c>
      <c r="Y22" s="52">
        <v>0</v>
      </c>
      <c r="Z22" s="52">
        <v>0</v>
      </c>
      <c r="AA22" s="52">
        <v>0</v>
      </c>
      <c r="AB22" s="52">
        <v>0</v>
      </c>
      <c r="AC22" s="52">
        <v>0</v>
      </c>
      <c r="AD22" s="52">
        <v>0</v>
      </c>
      <c r="AE22" s="52">
        <v>0</v>
      </c>
      <c r="AF22" s="52">
        <f>SUM(Table6[[#This Row],[Programmed Y1 (26-27)]:[Later Years]])</f>
        <v>70</v>
      </c>
      <c r="AG22" s="22" t="s">
        <v>70</v>
      </c>
      <c r="AH22" s="53" t="s">
        <v>202</v>
      </c>
      <c r="AI22" s="23">
        <v>0</v>
      </c>
      <c r="AJ22" s="54">
        <v>70</v>
      </c>
      <c r="AK22" s="23">
        <v>0</v>
      </c>
      <c r="AL22" s="23">
        <v>0</v>
      </c>
      <c r="AM22" s="22" t="s">
        <v>59</v>
      </c>
      <c r="AN22" s="22" t="s">
        <v>60</v>
      </c>
      <c r="AO22" s="22" t="s">
        <v>264</v>
      </c>
      <c r="AP22" s="22" t="s">
        <v>169</v>
      </c>
      <c r="AQ22" s="53" t="s">
        <v>204</v>
      </c>
      <c r="AR22" s="23" t="s">
        <v>135</v>
      </c>
      <c r="AS22" s="23" t="s">
        <v>63</v>
      </c>
      <c r="AT22" s="22" t="s">
        <v>63</v>
      </c>
      <c r="AU22" s="22"/>
      <c r="AV22" s="22"/>
    </row>
    <row r="23" spans="1:48" s="1" customFormat="1" ht="29.1">
      <c r="A23" s="15" t="s">
        <v>265</v>
      </c>
      <c r="B23" s="22" t="s">
        <v>266</v>
      </c>
      <c r="C23" s="23" t="s">
        <v>267</v>
      </c>
      <c r="D23" s="22" t="s">
        <v>268</v>
      </c>
      <c r="E23" s="22" t="s">
        <v>269</v>
      </c>
      <c r="F23" s="23">
        <v>339467</v>
      </c>
      <c r="G23" s="23">
        <v>729510</v>
      </c>
      <c r="H23" s="24">
        <v>2.1768483464215729</v>
      </c>
      <c r="I23" s="25">
        <v>43191</v>
      </c>
      <c r="J23" s="22" t="s">
        <v>88</v>
      </c>
      <c r="K23" s="22" t="s">
        <v>119</v>
      </c>
      <c r="L23" s="22"/>
      <c r="M23" s="22"/>
      <c r="N23" s="25"/>
      <c r="O23" s="22" t="s">
        <v>91</v>
      </c>
      <c r="P23" s="25"/>
      <c r="Q23" s="23">
        <v>110</v>
      </c>
      <c r="R23" s="23">
        <v>110</v>
      </c>
      <c r="S23" s="23">
        <v>0</v>
      </c>
      <c r="T23" s="23">
        <v>0</v>
      </c>
      <c r="U23" s="52">
        <v>0</v>
      </c>
      <c r="V23" s="52">
        <v>0</v>
      </c>
      <c r="W23" s="52">
        <v>50</v>
      </c>
      <c r="X23" s="52">
        <v>60</v>
      </c>
      <c r="Y23" s="52">
        <v>0</v>
      </c>
      <c r="Z23" s="52">
        <v>0</v>
      </c>
      <c r="AA23" s="52">
        <v>0</v>
      </c>
      <c r="AB23" s="52">
        <v>0</v>
      </c>
      <c r="AC23" s="52">
        <v>0</v>
      </c>
      <c r="AD23" s="52">
        <v>0</v>
      </c>
      <c r="AE23" s="52">
        <v>0</v>
      </c>
      <c r="AF23" s="52">
        <f>SUM(Table6[[#This Row],[Programmed Y1 (26-27)]:[Later Years]])</f>
        <v>110</v>
      </c>
      <c r="AG23" s="22" t="s">
        <v>70</v>
      </c>
      <c r="AH23" s="22" t="s">
        <v>58</v>
      </c>
      <c r="AI23" s="23">
        <v>110</v>
      </c>
      <c r="AJ23" s="23">
        <v>0</v>
      </c>
      <c r="AK23" s="23">
        <v>0</v>
      </c>
      <c r="AL23" s="23">
        <v>0</v>
      </c>
      <c r="AM23" s="22" t="s">
        <v>59</v>
      </c>
      <c r="AN23" s="22" t="s">
        <v>168</v>
      </c>
      <c r="AO23" s="22"/>
      <c r="AP23" s="22" t="s">
        <v>270</v>
      </c>
      <c r="AQ23" s="22"/>
      <c r="AR23" s="23" t="s">
        <v>135</v>
      </c>
      <c r="AS23" s="23" t="s">
        <v>136</v>
      </c>
      <c r="AT23" s="22" t="s">
        <v>63</v>
      </c>
      <c r="AU23" s="22"/>
      <c r="AV23" s="22"/>
    </row>
    <row r="24" spans="1:48" s="1" customFormat="1" ht="29.1">
      <c r="A24" s="15" t="s">
        <v>271</v>
      </c>
      <c r="B24" s="22" t="s">
        <v>272</v>
      </c>
      <c r="C24" s="23" t="s">
        <v>273</v>
      </c>
      <c r="D24" s="22" t="s">
        <v>274</v>
      </c>
      <c r="E24" s="22" t="s">
        <v>275</v>
      </c>
      <c r="F24" s="23">
        <v>343614</v>
      </c>
      <c r="G24" s="23">
        <v>733089</v>
      </c>
      <c r="H24" s="24">
        <v>1.942223668475207</v>
      </c>
      <c r="I24" s="25">
        <v>44725</v>
      </c>
      <c r="J24" s="22" t="s">
        <v>88</v>
      </c>
      <c r="K24" s="22" t="s">
        <v>54</v>
      </c>
      <c r="L24" s="22"/>
      <c r="M24" s="22" t="s">
        <v>276</v>
      </c>
      <c r="N24" s="25">
        <v>44725</v>
      </c>
      <c r="O24" s="22" t="s">
        <v>56</v>
      </c>
      <c r="P24" s="25">
        <v>45363</v>
      </c>
      <c r="Q24" s="23">
        <v>34</v>
      </c>
      <c r="R24" s="23">
        <v>17</v>
      </c>
      <c r="S24" s="23">
        <v>11</v>
      </c>
      <c r="T24" s="23">
        <v>17</v>
      </c>
      <c r="U24" s="52">
        <v>17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0</v>
      </c>
      <c r="AB24" s="52">
        <v>0</v>
      </c>
      <c r="AC24" s="52">
        <v>0</v>
      </c>
      <c r="AD24" s="52">
        <v>0</v>
      </c>
      <c r="AE24" s="52">
        <v>0</v>
      </c>
      <c r="AF24" s="52">
        <f>SUM(Table6[[#This Row],[Programmed Y1 (26-27)]:[Later Years]])</f>
        <v>17</v>
      </c>
      <c r="AG24" s="22" t="s">
        <v>57</v>
      </c>
      <c r="AH24" s="22" t="s">
        <v>58</v>
      </c>
      <c r="AI24" s="23">
        <v>28</v>
      </c>
      <c r="AJ24" s="23">
        <v>0</v>
      </c>
      <c r="AK24" s="23">
        <v>0</v>
      </c>
      <c r="AL24" s="23">
        <v>34</v>
      </c>
      <c r="AM24" s="22" t="s">
        <v>59</v>
      </c>
      <c r="AN24" s="22" t="s">
        <v>60</v>
      </c>
      <c r="AO24" s="22"/>
      <c r="AP24" s="22" t="s">
        <v>277</v>
      </c>
      <c r="AQ24" s="22" t="s">
        <v>277</v>
      </c>
      <c r="AR24" s="23" t="s">
        <v>135</v>
      </c>
      <c r="AS24" s="23" t="s">
        <v>136</v>
      </c>
      <c r="AT24" s="22" t="s">
        <v>63</v>
      </c>
      <c r="AU24" s="22"/>
      <c r="AV24" s="22"/>
    </row>
    <row r="25" spans="1:48" s="1" customFormat="1" ht="42.6" customHeight="1">
      <c r="A25" s="15" t="s">
        <v>278</v>
      </c>
      <c r="B25" s="22" t="s">
        <v>279</v>
      </c>
      <c r="C25" s="23" t="s">
        <v>280</v>
      </c>
      <c r="D25" s="22" t="s">
        <v>281</v>
      </c>
      <c r="E25" s="22" t="s">
        <v>282</v>
      </c>
      <c r="F25" s="23">
        <v>344237</v>
      </c>
      <c r="G25" s="23">
        <v>733239</v>
      </c>
      <c r="H25" s="24">
        <v>8.4240752997438708</v>
      </c>
      <c r="I25" s="25">
        <v>43191</v>
      </c>
      <c r="J25" s="22" t="s">
        <v>88</v>
      </c>
      <c r="K25" s="22" t="s">
        <v>119</v>
      </c>
      <c r="L25" s="22"/>
      <c r="M25" s="22"/>
      <c r="N25" s="25"/>
      <c r="O25" s="22" t="s">
        <v>91</v>
      </c>
      <c r="P25" s="25"/>
      <c r="Q25" s="23">
        <v>100</v>
      </c>
      <c r="R25" s="23">
        <v>100</v>
      </c>
      <c r="S25" s="23">
        <v>0</v>
      </c>
      <c r="T25" s="23">
        <v>0</v>
      </c>
      <c r="U25" s="52">
        <v>0</v>
      </c>
      <c r="V25" s="52">
        <v>0</v>
      </c>
      <c r="W25" s="52">
        <v>0</v>
      </c>
      <c r="X25" s="52">
        <v>30</v>
      </c>
      <c r="Y25" s="52">
        <v>30</v>
      </c>
      <c r="Z25" s="52">
        <v>40</v>
      </c>
      <c r="AA25" s="52">
        <v>0</v>
      </c>
      <c r="AB25" s="52">
        <v>0</v>
      </c>
      <c r="AC25" s="52">
        <v>0</v>
      </c>
      <c r="AD25" s="52">
        <v>0</v>
      </c>
      <c r="AE25" s="52">
        <v>0</v>
      </c>
      <c r="AF25" s="52">
        <f>SUM(Table6[[#This Row],[Programmed Y1 (26-27)]:[Later Years]])</f>
        <v>100</v>
      </c>
      <c r="AG25" s="22" t="s">
        <v>70</v>
      </c>
      <c r="AH25" s="22" t="s">
        <v>58</v>
      </c>
      <c r="AI25" s="23">
        <v>100</v>
      </c>
      <c r="AJ25" s="23">
        <v>0</v>
      </c>
      <c r="AK25" s="23">
        <v>0</v>
      </c>
      <c r="AL25" s="23">
        <v>0</v>
      </c>
      <c r="AM25" s="22" t="s">
        <v>59</v>
      </c>
      <c r="AN25" s="22" t="s">
        <v>60</v>
      </c>
      <c r="AO25" s="22"/>
      <c r="AP25" s="22" t="s">
        <v>169</v>
      </c>
      <c r="AQ25" s="22" t="s">
        <v>169</v>
      </c>
      <c r="AR25" s="23" t="s">
        <v>135</v>
      </c>
      <c r="AS25" s="23" t="s">
        <v>136</v>
      </c>
      <c r="AT25" s="22" t="s">
        <v>63</v>
      </c>
      <c r="AU25" s="22"/>
      <c r="AV25" s="22"/>
    </row>
    <row r="26" spans="1:48" s="1" customFormat="1" ht="43.5">
      <c r="A26" s="15" t="s">
        <v>283</v>
      </c>
      <c r="B26" s="22" t="s">
        <v>284</v>
      </c>
      <c r="C26" s="23"/>
      <c r="D26" s="22" t="s">
        <v>285</v>
      </c>
      <c r="E26" s="22" t="s">
        <v>286</v>
      </c>
      <c r="F26" s="23">
        <v>341769</v>
      </c>
      <c r="G26" s="23">
        <v>731105</v>
      </c>
      <c r="H26" s="24">
        <v>3.9484459989947749</v>
      </c>
      <c r="I26" s="25">
        <v>43564</v>
      </c>
      <c r="J26" s="22" t="s">
        <v>53</v>
      </c>
      <c r="K26" s="22" t="s">
        <v>54</v>
      </c>
      <c r="L26" s="22"/>
      <c r="M26" s="22" t="s">
        <v>287</v>
      </c>
      <c r="N26" s="25">
        <v>43564</v>
      </c>
      <c r="O26" s="22" t="s">
        <v>56</v>
      </c>
      <c r="P26" s="25">
        <v>44071</v>
      </c>
      <c r="Q26" s="23">
        <v>129</v>
      </c>
      <c r="R26" s="23">
        <v>59</v>
      </c>
      <c r="S26" s="23">
        <v>0</v>
      </c>
      <c r="T26" s="23">
        <v>70</v>
      </c>
      <c r="U26" s="52">
        <v>0</v>
      </c>
      <c r="V26" s="52">
        <v>24</v>
      </c>
      <c r="W26" s="52">
        <v>35</v>
      </c>
      <c r="X26" s="52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0</v>
      </c>
      <c r="AD26" s="52">
        <v>0</v>
      </c>
      <c r="AE26" s="52">
        <v>0</v>
      </c>
      <c r="AF26" s="52">
        <f>SUM(Table6[[#This Row],[Programmed Y1 (26-27)]:[Later Years]])</f>
        <v>59</v>
      </c>
      <c r="AG26" s="22" t="s">
        <v>57</v>
      </c>
      <c r="AH26" s="22" t="s">
        <v>202</v>
      </c>
      <c r="AI26" s="23">
        <v>0</v>
      </c>
      <c r="AJ26" s="23">
        <v>60</v>
      </c>
      <c r="AK26" s="23">
        <v>72</v>
      </c>
      <c r="AL26" s="23">
        <v>57</v>
      </c>
      <c r="AM26" s="22" t="s">
        <v>59</v>
      </c>
      <c r="AN26" s="22" t="s">
        <v>60</v>
      </c>
      <c r="AO26" s="22"/>
      <c r="AP26" s="22"/>
      <c r="AQ26" s="22" t="s">
        <v>224</v>
      </c>
      <c r="AR26" s="23" t="s">
        <v>135</v>
      </c>
      <c r="AS26" s="23" t="s">
        <v>63</v>
      </c>
      <c r="AT26" s="22" t="s">
        <v>63</v>
      </c>
      <c r="AU26" s="22"/>
      <c r="AV26" s="22" t="s">
        <v>288</v>
      </c>
    </row>
    <row r="27" spans="1:48" s="1" customFormat="1" ht="29.1">
      <c r="A27" s="15" t="s">
        <v>289</v>
      </c>
      <c r="B27" s="22" t="s">
        <v>290</v>
      </c>
      <c r="C27" s="23"/>
      <c r="D27" s="22" t="s">
        <v>291</v>
      </c>
      <c r="E27" s="22" t="s">
        <v>292</v>
      </c>
      <c r="F27" s="23">
        <v>342852</v>
      </c>
      <c r="G27" s="23">
        <v>731829</v>
      </c>
      <c r="H27" s="24">
        <v>2.8816522488613878</v>
      </c>
      <c r="I27" s="25">
        <v>43817</v>
      </c>
      <c r="J27" s="22" t="s">
        <v>53</v>
      </c>
      <c r="K27" s="22" t="s">
        <v>54</v>
      </c>
      <c r="L27" s="22"/>
      <c r="M27" s="22" t="s">
        <v>293</v>
      </c>
      <c r="N27" s="25">
        <v>45176</v>
      </c>
      <c r="O27" s="22" t="s">
        <v>56</v>
      </c>
      <c r="P27" s="25">
        <v>45131</v>
      </c>
      <c r="Q27" s="23">
        <v>71</v>
      </c>
      <c r="R27" s="23">
        <v>14</v>
      </c>
      <c r="S27" s="23">
        <v>34</v>
      </c>
      <c r="T27" s="23">
        <v>57</v>
      </c>
      <c r="U27" s="52">
        <v>14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0</v>
      </c>
      <c r="AF27" s="52">
        <f>SUM(Table6[[#This Row],[Programmed Y1 (26-27)]:[Later Years]])</f>
        <v>14</v>
      </c>
      <c r="AG27" s="22" t="s">
        <v>57</v>
      </c>
      <c r="AH27" s="22" t="s">
        <v>58</v>
      </c>
      <c r="AI27" s="23">
        <v>48</v>
      </c>
      <c r="AJ27" s="23">
        <v>0</v>
      </c>
      <c r="AK27" s="23">
        <v>0</v>
      </c>
      <c r="AL27" s="23">
        <v>71</v>
      </c>
      <c r="AM27" s="22" t="s">
        <v>59</v>
      </c>
      <c r="AN27" s="22" t="s">
        <v>60</v>
      </c>
      <c r="AO27" s="22"/>
      <c r="AP27" s="22" t="s">
        <v>113</v>
      </c>
      <c r="AQ27" s="22" t="s">
        <v>113</v>
      </c>
      <c r="AR27" s="23" t="s">
        <v>135</v>
      </c>
      <c r="AS27" s="23" t="s">
        <v>63</v>
      </c>
      <c r="AT27" s="22" t="s">
        <v>63</v>
      </c>
      <c r="AU27" s="22"/>
      <c r="AV27" s="22" t="s">
        <v>294</v>
      </c>
    </row>
    <row r="28" spans="1:48" s="1" customFormat="1" ht="38.1" customHeight="1">
      <c r="A28" s="15" t="s">
        <v>295</v>
      </c>
      <c r="B28" s="22" t="s">
        <v>296</v>
      </c>
      <c r="C28" s="23"/>
      <c r="D28" s="22" t="s">
        <v>297</v>
      </c>
      <c r="E28" s="22" t="s">
        <v>298</v>
      </c>
      <c r="F28" s="23">
        <v>342795</v>
      </c>
      <c r="G28" s="23">
        <v>732954</v>
      </c>
      <c r="H28" s="24">
        <v>1.0199632708328139</v>
      </c>
      <c r="I28" s="25">
        <v>43972</v>
      </c>
      <c r="J28" s="22" t="s">
        <v>53</v>
      </c>
      <c r="K28" s="22" t="s">
        <v>54</v>
      </c>
      <c r="L28" s="22"/>
      <c r="M28" s="22" t="s">
        <v>299</v>
      </c>
      <c r="N28" s="25">
        <v>43972</v>
      </c>
      <c r="O28" s="22" t="s">
        <v>56</v>
      </c>
      <c r="P28" s="25">
        <v>44410</v>
      </c>
      <c r="Q28" s="23">
        <v>14</v>
      </c>
      <c r="R28" s="23">
        <v>2</v>
      </c>
      <c r="S28" s="23">
        <v>0</v>
      </c>
      <c r="T28" s="23">
        <v>12</v>
      </c>
      <c r="U28" s="52">
        <v>2</v>
      </c>
      <c r="V28" s="52">
        <v>0</v>
      </c>
      <c r="W28" s="52">
        <v>0</v>
      </c>
      <c r="X28" s="52">
        <v>0</v>
      </c>
      <c r="Y28" s="52">
        <v>0</v>
      </c>
      <c r="Z28" s="52">
        <v>0</v>
      </c>
      <c r="AA28" s="52">
        <v>0</v>
      </c>
      <c r="AB28" s="52">
        <v>0</v>
      </c>
      <c r="AC28" s="52">
        <v>0</v>
      </c>
      <c r="AD28" s="52">
        <v>0</v>
      </c>
      <c r="AE28" s="52">
        <v>0</v>
      </c>
      <c r="AF28" s="52">
        <f>SUM(Table6[[#This Row],[Programmed Y1 (26-27)]:[Later Years]])</f>
        <v>2</v>
      </c>
      <c r="AG28" s="22" t="s">
        <v>57</v>
      </c>
      <c r="AH28" s="22" t="s">
        <v>58</v>
      </c>
      <c r="AI28" s="23">
        <v>2</v>
      </c>
      <c r="AJ28" s="23">
        <v>0</v>
      </c>
      <c r="AK28" s="23">
        <v>0</v>
      </c>
      <c r="AL28" s="23">
        <v>14</v>
      </c>
      <c r="AM28" s="22" t="s">
        <v>59</v>
      </c>
      <c r="AN28" s="22" t="s">
        <v>60</v>
      </c>
      <c r="AO28" s="22"/>
      <c r="AP28" s="22" t="s">
        <v>300</v>
      </c>
      <c r="AQ28" s="22" t="s">
        <v>300</v>
      </c>
      <c r="AR28" s="23" t="s">
        <v>135</v>
      </c>
      <c r="AS28" s="23" t="s">
        <v>63</v>
      </c>
      <c r="AT28" s="22" t="s">
        <v>63</v>
      </c>
      <c r="AU28" s="22"/>
      <c r="AV28" s="22"/>
    </row>
    <row r="29" spans="1:48" s="1" customFormat="1" ht="14.45">
      <c r="A29" s="15" t="s">
        <v>301</v>
      </c>
      <c r="B29" s="22" t="s">
        <v>302</v>
      </c>
      <c r="C29" s="23"/>
      <c r="D29" s="22" t="s">
        <v>303</v>
      </c>
      <c r="E29" s="22" t="s">
        <v>304</v>
      </c>
      <c r="F29" s="23">
        <v>340610</v>
      </c>
      <c r="G29" s="23">
        <v>730351</v>
      </c>
      <c r="H29" s="24">
        <v>0.12902400659252991</v>
      </c>
      <c r="I29" s="25">
        <v>44042</v>
      </c>
      <c r="J29" s="22" t="s">
        <v>53</v>
      </c>
      <c r="K29" s="22" t="s">
        <v>54</v>
      </c>
      <c r="L29" s="22"/>
      <c r="M29" s="22" t="s">
        <v>305</v>
      </c>
      <c r="N29" s="25">
        <v>44537</v>
      </c>
      <c r="O29" s="22" t="s">
        <v>56</v>
      </c>
      <c r="P29" s="25">
        <v>44986</v>
      </c>
      <c r="Q29" s="23">
        <v>49</v>
      </c>
      <c r="R29" s="23">
        <v>49</v>
      </c>
      <c r="S29" s="23">
        <v>0</v>
      </c>
      <c r="T29" s="23">
        <v>0</v>
      </c>
      <c r="U29" s="52">
        <v>0</v>
      </c>
      <c r="V29" s="52">
        <v>49</v>
      </c>
      <c r="W29" s="52">
        <v>0</v>
      </c>
      <c r="X29" s="52">
        <v>0</v>
      </c>
      <c r="Y29" s="52">
        <v>0</v>
      </c>
      <c r="Z29" s="52">
        <v>0</v>
      </c>
      <c r="AA29" s="52">
        <v>0</v>
      </c>
      <c r="AB29" s="52">
        <v>0</v>
      </c>
      <c r="AC29" s="52">
        <v>0</v>
      </c>
      <c r="AD29" s="52">
        <v>0</v>
      </c>
      <c r="AE29" s="52">
        <v>0</v>
      </c>
      <c r="AF29" s="52">
        <f>SUM(Table6[[#This Row],[Programmed Y1 (26-27)]:[Later Years]])</f>
        <v>49</v>
      </c>
      <c r="AG29" s="22" t="s">
        <v>57</v>
      </c>
      <c r="AH29" s="22" t="s">
        <v>58</v>
      </c>
      <c r="AI29" s="23">
        <v>49</v>
      </c>
      <c r="AJ29" s="23">
        <v>0</v>
      </c>
      <c r="AK29" s="23">
        <v>49</v>
      </c>
      <c r="AL29" s="23">
        <v>0</v>
      </c>
      <c r="AM29" s="22" t="s">
        <v>59</v>
      </c>
      <c r="AN29" s="22" t="s">
        <v>60</v>
      </c>
      <c r="AO29" s="22"/>
      <c r="AP29" s="22" t="s">
        <v>306</v>
      </c>
      <c r="AQ29" s="22" t="s">
        <v>306</v>
      </c>
      <c r="AR29" s="23" t="s">
        <v>135</v>
      </c>
      <c r="AS29" s="23" t="s">
        <v>63</v>
      </c>
      <c r="AT29" s="22" t="s">
        <v>63</v>
      </c>
      <c r="AU29" s="22"/>
      <c r="AV29" s="22"/>
    </row>
    <row r="30" spans="1:48" s="1" customFormat="1" ht="36.6" customHeight="1">
      <c r="A30" s="15" t="s">
        <v>307</v>
      </c>
      <c r="B30" s="22" t="s">
        <v>308</v>
      </c>
      <c r="C30" s="23"/>
      <c r="D30" s="22" t="s">
        <v>309</v>
      </c>
      <c r="E30" s="22" t="s">
        <v>310</v>
      </c>
      <c r="F30" s="23">
        <v>341712</v>
      </c>
      <c r="G30" s="23">
        <v>731577</v>
      </c>
      <c r="H30" s="24">
        <v>0.22414745948483339</v>
      </c>
      <c r="I30" s="25">
        <v>44126</v>
      </c>
      <c r="J30" s="22" t="s">
        <v>53</v>
      </c>
      <c r="K30" s="22" t="s">
        <v>54</v>
      </c>
      <c r="L30" s="22"/>
      <c r="M30" s="22" t="s">
        <v>311</v>
      </c>
      <c r="N30" s="25">
        <v>44126</v>
      </c>
      <c r="O30" s="22" t="s">
        <v>56</v>
      </c>
      <c r="P30" s="25">
        <v>44468</v>
      </c>
      <c r="Q30" s="23">
        <v>4</v>
      </c>
      <c r="R30" s="23">
        <v>4</v>
      </c>
      <c r="S30" s="23">
        <v>0</v>
      </c>
      <c r="T30" s="23">
        <v>0</v>
      </c>
      <c r="U30" s="52">
        <v>4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0</v>
      </c>
      <c r="AB30" s="52">
        <v>0</v>
      </c>
      <c r="AC30" s="52">
        <v>0</v>
      </c>
      <c r="AD30" s="52">
        <v>0</v>
      </c>
      <c r="AE30" s="52">
        <v>0</v>
      </c>
      <c r="AF30" s="52">
        <f>SUM(Table6[[#This Row],[Programmed Y1 (26-27)]:[Later Years]])</f>
        <v>4</v>
      </c>
      <c r="AG30" s="22" t="s">
        <v>57</v>
      </c>
      <c r="AH30" s="22" t="s">
        <v>58</v>
      </c>
      <c r="AI30" s="23">
        <v>4</v>
      </c>
      <c r="AJ30" s="23">
        <v>0</v>
      </c>
      <c r="AK30" s="23">
        <v>3</v>
      </c>
      <c r="AL30" s="23">
        <v>1</v>
      </c>
      <c r="AM30" s="22" t="s">
        <v>59</v>
      </c>
      <c r="AN30" s="22" t="s">
        <v>168</v>
      </c>
      <c r="AO30" s="22" t="s">
        <v>312</v>
      </c>
      <c r="AP30" s="22" t="s">
        <v>313</v>
      </c>
      <c r="AQ30" s="22" t="s">
        <v>313</v>
      </c>
      <c r="AR30" s="23" t="s">
        <v>135</v>
      </c>
      <c r="AS30" s="23" t="s">
        <v>63</v>
      </c>
      <c r="AT30" s="22" t="s">
        <v>63</v>
      </c>
      <c r="AU30" s="22"/>
      <c r="AV30" s="22"/>
    </row>
    <row r="31" spans="1:48" s="1" customFormat="1" ht="14.45">
      <c r="A31" s="15" t="s">
        <v>314</v>
      </c>
      <c r="B31" s="22" t="s">
        <v>315</v>
      </c>
      <c r="C31" s="23"/>
      <c r="D31" s="22" t="s">
        <v>316</v>
      </c>
      <c r="E31" s="22" t="s">
        <v>317</v>
      </c>
      <c r="F31" s="23">
        <v>341769</v>
      </c>
      <c r="G31" s="23">
        <v>731399</v>
      </c>
      <c r="H31" s="24">
        <v>0.26634557999645841</v>
      </c>
      <c r="I31" s="25">
        <v>44153</v>
      </c>
      <c r="J31" s="22" t="s">
        <v>53</v>
      </c>
      <c r="K31" s="22" t="s">
        <v>54</v>
      </c>
      <c r="L31" s="22"/>
      <c r="M31" s="22" t="s">
        <v>318</v>
      </c>
      <c r="N31" s="25">
        <v>44153</v>
      </c>
      <c r="O31" s="22" t="s">
        <v>56</v>
      </c>
      <c r="P31" s="25">
        <v>45413</v>
      </c>
      <c r="Q31" s="23">
        <v>8</v>
      </c>
      <c r="R31" s="23">
        <v>4</v>
      </c>
      <c r="S31" s="23">
        <v>4</v>
      </c>
      <c r="T31" s="23">
        <v>4</v>
      </c>
      <c r="U31" s="52">
        <v>4</v>
      </c>
      <c r="V31" s="52">
        <v>0</v>
      </c>
      <c r="W31" s="52">
        <v>0</v>
      </c>
      <c r="X31" s="52">
        <v>0</v>
      </c>
      <c r="Y31" s="52">
        <v>0</v>
      </c>
      <c r="Z31" s="52">
        <v>0</v>
      </c>
      <c r="AA31" s="52">
        <v>0</v>
      </c>
      <c r="AB31" s="52">
        <v>0</v>
      </c>
      <c r="AC31" s="52">
        <v>0</v>
      </c>
      <c r="AD31" s="52">
        <v>0</v>
      </c>
      <c r="AE31" s="52">
        <v>0</v>
      </c>
      <c r="AF31" s="52">
        <f>SUM(Table6[[#This Row],[Programmed Y1 (26-27)]:[Later Years]])</f>
        <v>4</v>
      </c>
      <c r="AG31" s="22" t="s">
        <v>57</v>
      </c>
      <c r="AH31" s="22" t="s">
        <v>58</v>
      </c>
      <c r="AI31" s="23">
        <v>8</v>
      </c>
      <c r="AJ31" s="23">
        <v>0</v>
      </c>
      <c r="AK31" s="23">
        <v>0</v>
      </c>
      <c r="AL31" s="23">
        <v>8</v>
      </c>
      <c r="AM31" s="22" t="s">
        <v>59</v>
      </c>
      <c r="AN31" s="22" t="s">
        <v>60</v>
      </c>
      <c r="AO31" s="22"/>
      <c r="AP31" s="22" t="s">
        <v>319</v>
      </c>
      <c r="AQ31" s="22" t="s">
        <v>319</v>
      </c>
      <c r="AR31" s="23" t="s">
        <v>135</v>
      </c>
      <c r="AS31" s="23" t="s">
        <v>63</v>
      </c>
      <c r="AT31" s="22" t="s">
        <v>63</v>
      </c>
      <c r="AU31" s="22"/>
      <c r="AV31" s="22"/>
    </row>
    <row r="32" spans="1:48" s="1" customFormat="1" ht="29.1">
      <c r="A32" s="15" t="s">
        <v>320</v>
      </c>
      <c r="B32" s="22" t="s">
        <v>321</v>
      </c>
      <c r="C32" s="23"/>
      <c r="D32" s="22" t="s">
        <v>322</v>
      </c>
      <c r="E32" s="22" t="s">
        <v>323</v>
      </c>
      <c r="F32" s="23">
        <v>339990</v>
      </c>
      <c r="G32" s="23">
        <v>730905</v>
      </c>
      <c r="H32" s="24">
        <v>1.3420630391165069</v>
      </c>
      <c r="I32" s="25">
        <v>44363</v>
      </c>
      <c r="J32" s="22" t="s">
        <v>53</v>
      </c>
      <c r="K32" s="22" t="s">
        <v>54</v>
      </c>
      <c r="L32" s="22"/>
      <c r="M32" s="22" t="s">
        <v>324</v>
      </c>
      <c r="N32" s="25">
        <v>44363</v>
      </c>
      <c r="O32" s="22" t="s">
        <v>56</v>
      </c>
      <c r="P32" s="25">
        <v>44722</v>
      </c>
      <c r="Q32" s="23">
        <v>40</v>
      </c>
      <c r="R32" s="23">
        <v>24</v>
      </c>
      <c r="S32" s="23">
        <v>3</v>
      </c>
      <c r="T32" s="23">
        <v>16</v>
      </c>
      <c r="U32" s="52">
        <v>13</v>
      </c>
      <c r="V32" s="52">
        <v>11</v>
      </c>
      <c r="W32" s="52">
        <v>0</v>
      </c>
      <c r="X32" s="52">
        <v>0</v>
      </c>
      <c r="Y32" s="52">
        <v>0</v>
      </c>
      <c r="Z32" s="52">
        <v>0</v>
      </c>
      <c r="AA32" s="52">
        <v>0</v>
      </c>
      <c r="AB32" s="52">
        <v>0</v>
      </c>
      <c r="AC32" s="52">
        <v>0</v>
      </c>
      <c r="AD32" s="52">
        <v>0</v>
      </c>
      <c r="AE32" s="52">
        <v>0</v>
      </c>
      <c r="AF32" s="52">
        <f>SUM(Table6[[#This Row],[Programmed Y1 (26-27)]:[Later Years]])</f>
        <v>24</v>
      </c>
      <c r="AG32" s="22" t="s">
        <v>57</v>
      </c>
      <c r="AH32" s="22" t="s">
        <v>58</v>
      </c>
      <c r="AI32" s="23">
        <v>27</v>
      </c>
      <c r="AJ32" s="23">
        <v>0</v>
      </c>
      <c r="AK32" s="23">
        <v>0</v>
      </c>
      <c r="AL32" s="23">
        <v>40</v>
      </c>
      <c r="AM32" s="22" t="s">
        <v>59</v>
      </c>
      <c r="AN32" s="22" t="s">
        <v>60</v>
      </c>
      <c r="AO32" s="22"/>
      <c r="AP32" s="22" t="s">
        <v>325</v>
      </c>
      <c r="AQ32" s="22" t="s">
        <v>325</v>
      </c>
      <c r="AR32" s="23" t="s">
        <v>135</v>
      </c>
      <c r="AS32" s="23" t="s">
        <v>63</v>
      </c>
      <c r="AT32" s="22" t="s">
        <v>63</v>
      </c>
      <c r="AU32" s="22"/>
      <c r="AV32" s="22"/>
    </row>
    <row r="33" spans="1:48" s="1" customFormat="1" ht="26.1" customHeight="1">
      <c r="A33" s="15" t="s">
        <v>326</v>
      </c>
      <c r="B33" s="22" t="s">
        <v>327</v>
      </c>
      <c r="C33" s="23"/>
      <c r="D33" s="22" t="s">
        <v>328</v>
      </c>
      <c r="E33" s="22" t="s">
        <v>329</v>
      </c>
      <c r="F33" s="23">
        <v>339151</v>
      </c>
      <c r="G33" s="23">
        <v>729525</v>
      </c>
      <c r="H33" s="24">
        <v>0.25114411770013823</v>
      </c>
      <c r="I33" s="25">
        <v>44307</v>
      </c>
      <c r="J33" s="22" t="s">
        <v>53</v>
      </c>
      <c r="K33" s="22" t="s">
        <v>54</v>
      </c>
      <c r="L33" s="22"/>
      <c r="M33" s="22" t="s">
        <v>330</v>
      </c>
      <c r="N33" s="25">
        <v>44307</v>
      </c>
      <c r="O33" s="22" t="s">
        <v>56</v>
      </c>
      <c r="P33" s="25">
        <v>45012</v>
      </c>
      <c r="Q33" s="23">
        <v>9</v>
      </c>
      <c r="R33" s="23">
        <v>4</v>
      </c>
      <c r="S33" s="23">
        <v>5</v>
      </c>
      <c r="T33" s="23">
        <v>5</v>
      </c>
      <c r="U33" s="52">
        <v>4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f>SUM(Table6[[#This Row],[Programmed Y1 (26-27)]:[Later Years]])</f>
        <v>4</v>
      </c>
      <c r="AG33" s="22" t="s">
        <v>57</v>
      </c>
      <c r="AH33" s="22" t="s">
        <v>58</v>
      </c>
      <c r="AI33" s="23">
        <v>9</v>
      </c>
      <c r="AJ33" s="23">
        <v>0</v>
      </c>
      <c r="AK33" s="23">
        <v>4</v>
      </c>
      <c r="AL33" s="23">
        <v>5</v>
      </c>
      <c r="AM33" s="22" t="s">
        <v>59</v>
      </c>
      <c r="AN33" s="22" t="s">
        <v>60</v>
      </c>
      <c r="AO33" s="22"/>
      <c r="AP33" s="22" t="s">
        <v>331</v>
      </c>
      <c r="AQ33" s="22" t="s">
        <v>331</v>
      </c>
      <c r="AR33" s="23" t="s">
        <v>135</v>
      </c>
      <c r="AS33" s="23" t="s">
        <v>63</v>
      </c>
      <c r="AT33" s="22" t="s">
        <v>63</v>
      </c>
      <c r="AU33" s="22"/>
      <c r="AV33" s="22"/>
    </row>
    <row r="34" spans="1:48" s="1" customFormat="1" ht="30.6" customHeight="1">
      <c r="A34" s="15" t="s">
        <v>332</v>
      </c>
      <c r="B34" s="22" t="s">
        <v>333</v>
      </c>
      <c r="C34" s="23"/>
      <c r="D34" s="22" t="s">
        <v>334</v>
      </c>
      <c r="E34" s="22" t="s">
        <v>335</v>
      </c>
      <c r="F34" s="23">
        <v>340357</v>
      </c>
      <c r="G34" s="23">
        <v>730131</v>
      </c>
      <c r="H34" s="24">
        <v>2.8412288249134731E-2</v>
      </c>
      <c r="I34" s="25">
        <v>44518</v>
      </c>
      <c r="J34" s="22" t="s">
        <v>53</v>
      </c>
      <c r="K34" s="22" t="s">
        <v>54</v>
      </c>
      <c r="L34" s="22"/>
      <c r="M34" s="22" t="s">
        <v>336</v>
      </c>
      <c r="N34" s="25">
        <v>44518</v>
      </c>
      <c r="O34" s="22" t="s">
        <v>56</v>
      </c>
      <c r="P34" s="25">
        <v>45444</v>
      </c>
      <c r="Q34" s="23">
        <v>14</v>
      </c>
      <c r="R34" s="23">
        <v>14</v>
      </c>
      <c r="S34" s="23">
        <v>0</v>
      </c>
      <c r="T34" s="23">
        <v>0</v>
      </c>
      <c r="U34" s="52">
        <v>0</v>
      </c>
      <c r="V34" s="52">
        <v>14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f>SUM(Table6[[#This Row],[Programmed Y1 (26-27)]:[Later Years]])</f>
        <v>14</v>
      </c>
      <c r="AG34" s="22" t="s">
        <v>57</v>
      </c>
      <c r="AH34" s="22" t="s">
        <v>58</v>
      </c>
      <c r="AI34" s="23">
        <v>14</v>
      </c>
      <c r="AJ34" s="23">
        <v>0</v>
      </c>
      <c r="AK34" s="23">
        <v>14</v>
      </c>
      <c r="AL34" s="23">
        <v>0</v>
      </c>
      <c r="AM34" s="22" t="s">
        <v>59</v>
      </c>
      <c r="AN34" s="22" t="s">
        <v>60</v>
      </c>
      <c r="AO34" s="22"/>
      <c r="AP34" s="22" t="s">
        <v>337</v>
      </c>
      <c r="AQ34" s="22" t="s">
        <v>337</v>
      </c>
      <c r="AR34" s="23" t="s">
        <v>135</v>
      </c>
      <c r="AS34" s="23" t="s">
        <v>63</v>
      </c>
      <c r="AT34" s="22" t="s">
        <v>63</v>
      </c>
      <c r="AU34" s="22"/>
      <c r="AV34" s="22"/>
    </row>
    <row r="35" spans="1:48" s="1" customFormat="1" ht="14.45">
      <c r="A35" s="15" t="s">
        <v>338</v>
      </c>
      <c r="B35" s="22" t="s">
        <v>339</v>
      </c>
      <c r="C35" s="23"/>
      <c r="D35" s="22" t="s">
        <v>340</v>
      </c>
      <c r="E35" s="22" t="s">
        <v>341</v>
      </c>
      <c r="F35" s="23">
        <v>338564</v>
      </c>
      <c r="G35" s="23">
        <v>730306</v>
      </c>
      <c r="H35" s="24">
        <v>0.17708437649832781</v>
      </c>
      <c r="I35" s="25">
        <v>44601</v>
      </c>
      <c r="J35" s="22" t="s">
        <v>53</v>
      </c>
      <c r="K35" s="22" t="s">
        <v>54</v>
      </c>
      <c r="L35" s="22"/>
      <c r="M35" s="22" t="s">
        <v>342</v>
      </c>
      <c r="N35" s="25">
        <v>45756</v>
      </c>
      <c r="O35" s="22" t="s">
        <v>56</v>
      </c>
      <c r="P35" s="25">
        <v>45887</v>
      </c>
      <c r="Q35" s="23">
        <v>24</v>
      </c>
      <c r="R35" s="23">
        <v>24</v>
      </c>
      <c r="S35" s="23">
        <v>0</v>
      </c>
      <c r="T35" s="23">
        <v>0</v>
      </c>
      <c r="U35" s="52">
        <v>12</v>
      </c>
      <c r="V35" s="52">
        <v>12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f>SUM(Table6[[#This Row],[Programmed Y1 (26-27)]:[Later Years]])</f>
        <v>24</v>
      </c>
      <c r="AG35" s="22" t="s">
        <v>57</v>
      </c>
      <c r="AH35" s="22" t="s">
        <v>202</v>
      </c>
      <c r="AI35" s="23">
        <v>0</v>
      </c>
      <c r="AJ35" s="23">
        <v>0</v>
      </c>
      <c r="AK35" s="23">
        <v>24</v>
      </c>
      <c r="AL35" s="23">
        <v>0</v>
      </c>
      <c r="AM35" s="22" t="s">
        <v>59</v>
      </c>
      <c r="AN35" s="22" t="s">
        <v>60</v>
      </c>
      <c r="AO35" s="22"/>
      <c r="AP35" s="22" t="s">
        <v>169</v>
      </c>
      <c r="AQ35" s="22" t="s">
        <v>169</v>
      </c>
      <c r="AR35" s="23" t="s">
        <v>135</v>
      </c>
      <c r="AS35" s="23" t="s">
        <v>63</v>
      </c>
      <c r="AT35" s="22" t="s">
        <v>63</v>
      </c>
      <c r="AU35" s="22"/>
      <c r="AV35" s="22"/>
    </row>
    <row r="36" spans="1:48" s="1" customFormat="1" ht="93" customHeight="1">
      <c r="A36" s="15" t="s">
        <v>343</v>
      </c>
      <c r="B36" s="22" t="s">
        <v>344</v>
      </c>
      <c r="C36" s="23"/>
      <c r="D36" s="22" t="s">
        <v>345</v>
      </c>
      <c r="E36" s="22" t="s">
        <v>346</v>
      </c>
      <c r="F36" s="23">
        <v>340952</v>
      </c>
      <c r="G36" s="23">
        <v>732266</v>
      </c>
      <c r="H36" s="24">
        <v>6.3045057086975982</v>
      </c>
      <c r="I36" s="25">
        <v>44609</v>
      </c>
      <c r="J36" s="22" t="s">
        <v>53</v>
      </c>
      <c r="K36" s="22" t="s">
        <v>54</v>
      </c>
      <c r="L36" s="22"/>
      <c r="M36" s="22" t="s">
        <v>347</v>
      </c>
      <c r="N36" s="25">
        <v>45310</v>
      </c>
      <c r="O36" s="22" t="s">
        <v>56</v>
      </c>
      <c r="P36" s="25">
        <v>44880</v>
      </c>
      <c r="Q36" s="23">
        <v>223</v>
      </c>
      <c r="R36" s="23">
        <v>60</v>
      </c>
      <c r="S36" s="23">
        <v>73</v>
      </c>
      <c r="T36" s="23">
        <v>163</v>
      </c>
      <c r="U36" s="52">
        <v>60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f>SUM(Table6[[#This Row],[Programmed Y1 (26-27)]:[Later Years]])</f>
        <v>60</v>
      </c>
      <c r="AG36" s="22" t="s">
        <v>57</v>
      </c>
      <c r="AH36" s="22" t="s">
        <v>58</v>
      </c>
      <c r="AI36" s="23">
        <v>133</v>
      </c>
      <c r="AJ36" s="23">
        <v>0</v>
      </c>
      <c r="AK36" s="23">
        <v>56</v>
      </c>
      <c r="AL36" s="23">
        <v>167</v>
      </c>
      <c r="AM36" s="22" t="s">
        <v>59</v>
      </c>
      <c r="AN36" s="22" t="s">
        <v>60</v>
      </c>
      <c r="AO36" s="22"/>
      <c r="AP36" s="22" t="s">
        <v>348</v>
      </c>
      <c r="AQ36" s="22" t="s">
        <v>349</v>
      </c>
      <c r="AR36" s="23" t="s">
        <v>135</v>
      </c>
      <c r="AS36" s="23" t="s">
        <v>63</v>
      </c>
      <c r="AT36" s="22" t="s">
        <v>63</v>
      </c>
      <c r="AU36" s="22"/>
      <c r="AV36" s="22" t="s">
        <v>350</v>
      </c>
    </row>
    <row r="37" spans="1:48" s="1" customFormat="1" ht="14.45">
      <c r="A37" s="15" t="s">
        <v>351</v>
      </c>
      <c r="B37" s="22" t="s">
        <v>352</v>
      </c>
      <c r="C37" s="23"/>
      <c r="D37" s="22" t="s">
        <v>353</v>
      </c>
      <c r="E37" s="22" t="s">
        <v>354</v>
      </c>
      <c r="F37" s="23">
        <v>338192</v>
      </c>
      <c r="G37" s="23">
        <v>731432</v>
      </c>
      <c r="H37" s="24">
        <v>0.57137183050137219</v>
      </c>
      <c r="I37" s="25">
        <v>44637</v>
      </c>
      <c r="J37" s="22" t="s">
        <v>53</v>
      </c>
      <c r="K37" s="22" t="s">
        <v>54</v>
      </c>
      <c r="L37" s="22"/>
      <c r="M37" s="22" t="s">
        <v>355</v>
      </c>
      <c r="N37" s="25">
        <v>44637</v>
      </c>
      <c r="O37" s="22" t="s">
        <v>56</v>
      </c>
      <c r="P37" s="25">
        <v>45523</v>
      </c>
      <c r="Q37" s="23">
        <v>54</v>
      </c>
      <c r="R37" s="23">
        <v>54</v>
      </c>
      <c r="S37" s="23">
        <v>0</v>
      </c>
      <c r="T37" s="23">
        <v>0</v>
      </c>
      <c r="U37" s="52">
        <v>0</v>
      </c>
      <c r="V37" s="52">
        <v>54</v>
      </c>
      <c r="W37" s="52">
        <v>0</v>
      </c>
      <c r="X37" s="52">
        <v>0</v>
      </c>
      <c r="Y37" s="52">
        <v>0</v>
      </c>
      <c r="Z37" s="52">
        <v>0</v>
      </c>
      <c r="AA37" s="52">
        <v>0</v>
      </c>
      <c r="AB37" s="52">
        <v>0</v>
      </c>
      <c r="AC37" s="52">
        <v>0</v>
      </c>
      <c r="AD37" s="52">
        <v>0</v>
      </c>
      <c r="AE37" s="52">
        <v>0</v>
      </c>
      <c r="AF37" s="52">
        <f>SUM(Table6[[#This Row],[Programmed Y1 (26-27)]:[Later Years]])</f>
        <v>54</v>
      </c>
      <c r="AG37" s="22" t="s">
        <v>57</v>
      </c>
      <c r="AH37" s="22" t="s">
        <v>202</v>
      </c>
      <c r="AI37" s="23">
        <v>0</v>
      </c>
      <c r="AJ37" s="23">
        <v>54</v>
      </c>
      <c r="AK37" s="23">
        <v>54</v>
      </c>
      <c r="AL37" s="23">
        <v>0</v>
      </c>
      <c r="AM37" s="22" t="s">
        <v>59</v>
      </c>
      <c r="AN37" s="22" t="s">
        <v>60</v>
      </c>
      <c r="AO37" s="22"/>
      <c r="AP37" s="22" t="s">
        <v>224</v>
      </c>
      <c r="AQ37" s="22" t="s">
        <v>356</v>
      </c>
      <c r="AR37" s="23" t="s">
        <v>135</v>
      </c>
      <c r="AS37" s="23" t="s">
        <v>136</v>
      </c>
      <c r="AT37" s="22" t="s">
        <v>63</v>
      </c>
      <c r="AU37" s="22"/>
      <c r="AV37" s="22"/>
    </row>
    <row r="38" spans="1:48" s="1" customFormat="1" ht="36.6" customHeight="1">
      <c r="A38" s="15" t="s">
        <v>357</v>
      </c>
      <c r="B38" s="22" t="s">
        <v>358</v>
      </c>
      <c r="C38" s="23"/>
      <c r="D38" s="22" t="s">
        <v>359</v>
      </c>
      <c r="E38" s="22" t="s">
        <v>360</v>
      </c>
      <c r="F38" s="23">
        <v>337381</v>
      </c>
      <c r="G38" s="23">
        <v>730420</v>
      </c>
      <c r="H38" s="24">
        <v>0.30627767738291611</v>
      </c>
      <c r="I38" s="25">
        <v>44917</v>
      </c>
      <c r="J38" s="22" t="s">
        <v>53</v>
      </c>
      <c r="K38" s="22" t="s">
        <v>54</v>
      </c>
      <c r="L38" s="22"/>
      <c r="M38" s="22" t="s">
        <v>361</v>
      </c>
      <c r="N38" s="25">
        <v>44917</v>
      </c>
      <c r="O38" s="22" t="s">
        <v>56</v>
      </c>
      <c r="P38" s="25">
        <v>45355</v>
      </c>
      <c r="Q38" s="23">
        <v>5</v>
      </c>
      <c r="R38" s="23">
        <v>5</v>
      </c>
      <c r="S38" s="23">
        <v>0</v>
      </c>
      <c r="T38" s="23">
        <v>0</v>
      </c>
      <c r="U38" s="52">
        <v>0</v>
      </c>
      <c r="V38" s="52">
        <v>5</v>
      </c>
      <c r="W38" s="52">
        <v>0</v>
      </c>
      <c r="X38" s="52">
        <v>0</v>
      </c>
      <c r="Y38" s="52">
        <v>0</v>
      </c>
      <c r="Z38" s="52">
        <v>0</v>
      </c>
      <c r="AA38" s="52">
        <v>0</v>
      </c>
      <c r="AB38" s="52">
        <v>0</v>
      </c>
      <c r="AC38" s="52">
        <v>0</v>
      </c>
      <c r="AD38" s="52">
        <v>0</v>
      </c>
      <c r="AE38" s="52">
        <v>0</v>
      </c>
      <c r="AF38" s="52">
        <f>SUM(Table6[[#This Row],[Programmed Y1 (26-27)]:[Later Years]])</f>
        <v>5</v>
      </c>
      <c r="AG38" s="22" t="s">
        <v>57</v>
      </c>
      <c r="AH38" s="22" t="s">
        <v>58</v>
      </c>
      <c r="AI38" s="23">
        <v>5</v>
      </c>
      <c r="AJ38" s="23">
        <v>0</v>
      </c>
      <c r="AK38" s="23">
        <v>0</v>
      </c>
      <c r="AL38" s="23">
        <v>5</v>
      </c>
      <c r="AM38" s="22" t="s">
        <v>59</v>
      </c>
      <c r="AN38" s="22" t="s">
        <v>60</v>
      </c>
      <c r="AO38" s="22"/>
      <c r="AP38" s="22" t="s">
        <v>362</v>
      </c>
      <c r="AQ38" s="22" t="s">
        <v>362</v>
      </c>
      <c r="AR38" s="23" t="s">
        <v>135</v>
      </c>
      <c r="AS38" s="23" t="s">
        <v>63</v>
      </c>
      <c r="AT38" s="22" t="s">
        <v>63</v>
      </c>
      <c r="AU38" s="22"/>
      <c r="AV38" s="22" t="s">
        <v>363</v>
      </c>
    </row>
    <row r="39" spans="1:48" s="1" customFormat="1" ht="14.45">
      <c r="A39" s="15" t="s">
        <v>364</v>
      </c>
      <c r="B39" s="22" t="s">
        <v>365</v>
      </c>
      <c r="C39" s="23"/>
      <c r="D39" s="22" t="s">
        <v>366</v>
      </c>
      <c r="E39" s="22" t="s">
        <v>367</v>
      </c>
      <c r="F39" s="23">
        <v>336880</v>
      </c>
      <c r="G39" s="23">
        <v>731887</v>
      </c>
      <c r="H39" s="24">
        <v>0.2121879014316676</v>
      </c>
      <c r="I39" s="25">
        <v>45148</v>
      </c>
      <c r="J39" s="22" t="s">
        <v>53</v>
      </c>
      <c r="K39" s="22" t="s">
        <v>54</v>
      </c>
      <c r="L39" s="22"/>
      <c r="M39" s="22" t="s">
        <v>368</v>
      </c>
      <c r="N39" s="25">
        <v>45148</v>
      </c>
      <c r="O39" s="22" t="s">
        <v>91</v>
      </c>
      <c r="P39" s="25"/>
      <c r="Q39" s="23">
        <v>4</v>
      </c>
      <c r="R39" s="23">
        <v>4</v>
      </c>
      <c r="S39" s="23">
        <v>0</v>
      </c>
      <c r="T39" s="23">
        <v>0</v>
      </c>
      <c r="U39" s="52">
        <v>4</v>
      </c>
      <c r="V39" s="52">
        <v>0</v>
      </c>
      <c r="W39" s="52">
        <v>0</v>
      </c>
      <c r="X39" s="52">
        <v>0</v>
      </c>
      <c r="Y39" s="52">
        <v>0</v>
      </c>
      <c r="Z39" s="52">
        <v>0</v>
      </c>
      <c r="AA39" s="52">
        <v>0</v>
      </c>
      <c r="AB39" s="52">
        <v>0</v>
      </c>
      <c r="AC39" s="52">
        <v>0</v>
      </c>
      <c r="AD39" s="52">
        <v>0</v>
      </c>
      <c r="AE39" s="52">
        <v>0</v>
      </c>
      <c r="AF39" s="52">
        <f>SUM(Table6[[#This Row],[Programmed Y1 (26-27)]:[Later Years]])</f>
        <v>4</v>
      </c>
      <c r="AG39" s="22" t="s">
        <v>57</v>
      </c>
      <c r="AH39" s="22" t="s">
        <v>58</v>
      </c>
      <c r="AI39" s="23">
        <v>4</v>
      </c>
      <c r="AJ39" s="23">
        <v>0</v>
      </c>
      <c r="AK39" s="23">
        <v>0</v>
      </c>
      <c r="AL39" s="23">
        <v>4</v>
      </c>
      <c r="AM39" s="22" t="s">
        <v>59</v>
      </c>
      <c r="AN39" s="22" t="s">
        <v>60</v>
      </c>
      <c r="AO39" s="22"/>
      <c r="AP39" s="22" t="s">
        <v>319</v>
      </c>
      <c r="AQ39" s="22" t="s">
        <v>319</v>
      </c>
      <c r="AR39" s="23" t="s">
        <v>135</v>
      </c>
      <c r="AS39" s="23" t="s">
        <v>136</v>
      </c>
      <c r="AT39" s="22" t="s">
        <v>63</v>
      </c>
      <c r="AU39" s="22"/>
      <c r="AV39" s="22"/>
    </row>
    <row r="40" spans="1:48" s="1" customFormat="1" ht="29.1">
      <c r="A40" s="15" t="s">
        <v>369</v>
      </c>
      <c r="B40" s="22" t="s">
        <v>370</v>
      </c>
      <c r="C40" s="23"/>
      <c r="D40" s="22" t="s">
        <v>371</v>
      </c>
      <c r="E40" s="22" t="s">
        <v>372</v>
      </c>
      <c r="F40" s="23">
        <v>339491</v>
      </c>
      <c r="G40" s="23">
        <v>731290</v>
      </c>
      <c r="H40" s="24">
        <v>0.20269958204584759</v>
      </c>
      <c r="I40" s="25">
        <v>45211</v>
      </c>
      <c r="J40" s="22" t="s">
        <v>53</v>
      </c>
      <c r="K40" s="22" t="s">
        <v>54</v>
      </c>
      <c r="L40" s="22"/>
      <c r="M40" s="22" t="s">
        <v>373</v>
      </c>
      <c r="N40" s="25">
        <v>45211</v>
      </c>
      <c r="O40" s="22" t="s">
        <v>56</v>
      </c>
      <c r="P40" s="25">
        <v>45518</v>
      </c>
      <c r="Q40" s="23">
        <v>8</v>
      </c>
      <c r="R40" s="23">
        <v>8</v>
      </c>
      <c r="S40" s="23">
        <v>0</v>
      </c>
      <c r="T40" s="23">
        <v>0</v>
      </c>
      <c r="U40" s="52">
        <v>8</v>
      </c>
      <c r="V40" s="52">
        <v>0</v>
      </c>
      <c r="W40" s="52">
        <v>0</v>
      </c>
      <c r="X40" s="52">
        <v>0</v>
      </c>
      <c r="Y40" s="52">
        <v>0</v>
      </c>
      <c r="Z40" s="52">
        <v>0</v>
      </c>
      <c r="AA40" s="52">
        <v>0</v>
      </c>
      <c r="AB40" s="52">
        <v>0</v>
      </c>
      <c r="AC40" s="52">
        <v>0</v>
      </c>
      <c r="AD40" s="52">
        <v>0</v>
      </c>
      <c r="AE40" s="52">
        <v>0</v>
      </c>
      <c r="AF40" s="52">
        <f>SUM(Table6[[#This Row],[Programmed Y1 (26-27)]:[Later Years]])</f>
        <v>8</v>
      </c>
      <c r="AG40" s="22" t="s">
        <v>57</v>
      </c>
      <c r="AH40" s="22" t="s">
        <v>58</v>
      </c>
      <c r="AI40" s="23">
        <v>8</v>
      </c>
      <c r="AJ40" s="23">
        <v>0</v>
      </c>
      <c r="AK40" s="23">
        <v>8</v>
      </c>
      <c r="AL40" s="23">
        <v>0</v>
      </c>
      <c r="AM40" s="22" t="s">
        <v>59</v>
      </c>
      <c r="AN40" s="22" t="s">
        <v>60</v>
      </c>
      <c r="AO40" s="22"/>
      <c r="AP40" s="22" t="s">
        <v>374</v>
      </c>
      <c r="AQ40" s="22" t="s">
        <v>374</v>
      </c>
      <c r="AR40" s="23" t="s">
        <v>135</v>
      </c>
      <c r="AS40" s="23" t="s">
        <v>63</v>
      </c>
      <c r="AT40" s="22" t="s">
        <v>63</v>
      </c>
      <c r="AU40" s="22"/>
      <c r="AV40" s="22" t="s">
        <v>375</v>
      </c>
    </row>
    <row r="41" spans="1:48" s="1" customFormat="1" ht="29.1">
      <c r="A41" s="15" t="s">
        <v>376</v>
      </c>
      <c r="B41" s="22" t="s">
        <v>377</v>
      </c>
      <c r="C41" s="23"/>
      <c r="D41" s="22" t="s">
        <v>378</v>
      </c>
      <c r="E41" s="22" t="s">
        <v>379</v>
      </c>
      <c r="F41" s="23">
        <v>336124</v>
      </c>
      <c r="G41" s="23">
        <v>731003</v>
      </c>
      <c r="H41" s="24">
        <v>0.1523352101521597</v>
      </c>
      <c r="I41" s="25">
        <v>45237</v>
      </c>
      <c r="J41" s="22" t="s">
        <v>53</v>
      </c>
      <c r="K41" s="22" t="s">
        <v>54</v>
      </c>
      <c r="L41" s="22"/>
      <c r="M41" s="22" t="s">
        <v>380</v>
      </c>
      <c r="N41" s="25">
        <v>45237</v>
      </c>
      <c r="O41" s="22" t="s">
        <v>91</v>
      </c>
      <c r="P41" s="25"/>
      <c r="Q41" s="23">
        <v>16</v>
      </c>
      <c r="R41" s="23">
        <v>16</v>
      </c>
      <c r="S41" s="23">
        <v>0</v>
      </c>
      <c r="T41" s="23">
        <v>0</v>
      </c>
      <c r="U41" s="52">
        <v>0</v>
      </c>
      <c r="V41" s="52">
        <v>16</v>
      </c>
      <c r="W41" s="52">
        <v>0</v>
      </c>
      <c r="X41" s="52">
        <v>0</v>
      </c>
      <c r="Y41" s="52">
        <v>0</v>
      </c>
      <c r="Z41" s="52">
        <v>0</v>
      </c>
      <c r="AA41" s="52">
        <v>0</v>
      </c>
      <c r="AB41" s="52">
        <v>0</v>
      </c>
      <c r="AC41" s="52">
        <v>0</v>
      </c>
      <c r="AD41" s="52">
        <v>0</v>
      </c>
      <c r="AE41" s="52">
        <v>0</v>
      </c>
      <c r="AF41" s="52">
        <f>SUM(Table6[[#This Row],[Programmed Y1 (26-27)]:[Later Years]])</f>
        <v>16</v>
      </c>
      <c r="AG41" s="22" t="s">
        <v>57</v>
      </c>
      <c r="AH41" s="22" t="s">
        <v>58</v>
      </c>
      <c r="AI41" s="23">
        <v>16</v>
      </c>
      <c r="AJ41" s="23">
        <v>0</v>
      </c>
      <c r="AK41" s="23">
        <v>16</v>
      </c>
      <c r="AL41" s="23">
        <v>0</v>
      </c>
      <c r="AM41" s="22" t="s">
        <v>59</v>
      </c>
      <c r="AN41" s="22" t="s">
        <v>60</v>
      </c>
      <c r="AO41" s="22"/>
      <c r="AP41" s="22" t="s">
        <v>381</v>
      </c>
      <c r="AQ41" s="22" t="s">
        <v>381</v>
      </c>
      <c r="AR41" s="23" t="s">
        <v>135</v>
      </c>
      <c r="AS41" s="23" t="s">
        <v>63</v>
      </c>
      <c r="AT41" s="22" t="s">
        <v>63</v>
      </c>
      <c r="AU41" s="22"/>
      <c r="AV41" s="22"/>
    </row>
    <row r="42" spans="1:48" s="1" customFormat="1" ht="32.1" customHeight="1">
      <c r="A42" s="15" t="s">
        <v>382</v>
      </c>
      <c r="B42" s="22" t="s">
        <v>383</v>
      </c>
      <c r="C42" s="23"/>
      <c r="D42" s="22" t="s">
        <v>384</v>
      </c>
      <c r="E42" s="22" t="s">
        <v>385</v>
      </c>
      <c r="F42" s="23">
        <v>340788</v>
      </c>
      <c r="G42" s="23">
        <v>731048</v>
      </c>
      <c r="H42" s="24">
        <v>0.33085679282628522</v>
      </c>
      <c r="I42" s="25">
        <v>45040</v>
      </c>
      <c r="J42" s="22"/>
      <c r="K42" s="22" t="s">
        <v>54</v>
      </c>
      <c r="L42" s="22"/>
      <c r="M42" s="22" t="s">
        <v>386</v>
      </c>
      <c r="N42" s="25">
        <v>45040</v>
      </c>
      <c r="O42" s="22" t="s">
        <v>91</v>
      </c>
      <c r="P42" s="25"/>
      <c r="Q42" s="23">
        <v>34</v>
      </c>
      <c r="R42" s="23">
        <v>34</v>
      </c>
      <c r="S42" s="23">
        <v>0</v>
      </c>
      <c r="T42" s="23">
        <v>0</v>
      </c>
      <c r="U42" s="52">
        <v>0</v>
      </c>
      <c r="V42" s="52">
        <v>34</v>
      </c>
      <c r="W42" s="52">
        <v>0</v>
      </c>
      <c r="X42" s="52">
        <v>0</v>
      </c>
      <c r="Y42" s="52">
        <v>0</v>
      </c>
      <c r="Z42" s="52">
        <v>0</v>
      </c>
      <c r="AA42" s="52">
        <v>0</v>
      </c>
      <c r="AB42" s="52">
        <v>0</v>
      </c>
      <c r="AC42" s="52">
        <v>0</v>
      </c>
      <c r="AD42" s="52">
        <v>0</v>
      </c>
      <c r="AE42" s="52">
        <v>0</v>
      </c>
      <c r="AF42" s="52">
        <f>SUM(Table6[[#This Row],[Programmed Y1 (26-27)]:[Later Years]])</f>
        <v>34</v>
      </c>
      <c r="AG42" s="53" t="s">
        <v>57</v>
      </c>
      <c r="AH42" s="22" t="s">
        <v>58</v>
      </c>
      <c r="AI42" s="23">
        <v>34</v>
      </c>
      <c r="AJ42" s="23">
        <v>0</v>
      </c>
      <c r="AK42" s="23">
        <v>34</v>
      </c>
      <c r="AL42" s="23">
        <v>0</v>
      </c>
      <c r="AM42" s="22" t="s">
        <v>59</v>
      </c>
      <c r="AN42" s="22" t="s">
        <v>60</v>
      </c>
      <c r="AO42" s="22"/>
      <c r="AP42" s="22" t="s">
        <v>387</v>
      </c>
      <c r="AQ42" s="22" t="s">
        <v>387</v>
      </c>
      <c r="AR42" s="23" t="s">
        <v>135</v>
      </c>
      <c r="AS42" s="23" t="s">
        <v>63</v>
      </c>
      <c r="AT42" s="22" t="s">
        <v>63</v>
      </c>
      <c r="AU42" s="22"/>
      <c r="AV42" s="22"/>
    </row>
    <row r="43" spans="1:48" s="1" customFormat="1" ht="14.45">
      <c r="A43" s="15" t="s">
        <v>388</v>
      </c>
      <c r="B43" s="22" t="s">
        <v>389</v>
      </c>
      <c r="C43" s="23"/>
      <c r="D43" s="22" t="s">
        <v>390</v>
      </c>
      <c r="E43" s="22" t="s">
        <v>391</v>
      </c>
      <c r="F43" s="23">
        <v>339852</v>
      </c>
      <c r="G43" s="23">
        <v>729813</v>
      </c>
      <c r="H43" s="24">
        <v>0.23969794819395049</v>
      </c>
      <c r="I43" s="25">
        <v>45301</v>
      </c>
      <c r="J43" s="22" t="s">
        <v>53</v>
      </c>
      <c r="K43" s="22" t="s">
        <v>54</v>
      </c>
      <c r="L43" s="22"/>
      <c r="M43" s="22" t="s">
        <v>392</v>
      </c>
      <c r="N43" s="25">
        <v>45301</v>
      </c>
      <c r="O43" s="22" t="s">
        <v>91</v>
      </c>
      <c r="P43" s="25"/>
      <c r="Q43" s="23">
        <v>5</v>
      </c>
      <c r="R43" s="23">
        <v>5</v>
      </c>
      <c r="S43" s="23">
        <v>0</v>
      </c>
      <c r="T43" s="23">
        <v>0</v>
      </c>
      <c r="U43" s="52">
        <v>0</v>
      </c>
      <c r="V43" s="52">
        <v>5</v>
      </c>
      <c r="W43" s="52">
        <v>0</v>
      </c>
      <c r="X43" s="52">
        <v>0</v>
      </c>
      <c r="Y43" s="52">
        <v>0</v>
      </c>
      <c r="Z43" s="52">
        <v>0</v>
      </c>
      <c r="AA43" s="52">
        <v>0</v>
      </c>
      <c r="AB43" s="52">
        <v>0</v>
      </c>
      <c r="AC43" s="52">
        <v>0</v>
      </c>
      <c r="AD43" s="52">
        <v>0</v>
      </c>
      <c r="AE43" s="52">
        <v>0</v>
      </c>
      <c r="AF43" s="52">
        <f>SUM(Table6[[#This Row],[Programmed Y1 (26-27)]:[Later Years]])</f>
        <v>5</v>
      </c>
      <c r="AG43" s="22" t="s">
        <v>57</v>
      </c>
      <c r="AH43" s="22" t="s">
        <v>58</v>
      </c>
      <c r="AI43" s="23">
        <v>5</v>
      </c>
      <c r="AJ43" s="23">
        <v>0</v>
      </c>
      <c r="AK43" s="23">
        <v>5</v>
      </c>
      <c r="AL43" s="23">
        <v>0</v>
      </c>
      <c r="AM43" s="22" t="s">
        <v>59</v>
      </c>
      <c r="AN43" s="22" t="s">
        <v>60</v>
      </c>
      <c r="AO43" s="22"/>
      <c r="AP43" s="22" t="s">
        <v>362</v>
      </c>
      <c r="AQ43" s="22" t="s">
        <v>362</v>
      </c>
      <c r="AR43" s="23" t="s">
        <v>135</v>
      </c>
      <c r="AS43" s="23" t="s">
        <v>63</v>
      </c>
      <c r="AT43" s="22" t="s">
        <v>63</v>
      </c>
      <c r="AU43" s="22"/>
      <c r="AV43" s="22"/>
    </row>
    <row r="44" spans="1:48" s="1" customFormat="1" ht="29.1">
      <c r="A44" s="15" t="s">
        <v>393</v>
      </c>
      <c r="B44" s="22" t="s">
        <v>394</v>
      </c>
      <c r="C44" s="23"/>
      <c r="D44" s="22" t="s">
        <v>395</v>
      </c>
      <c r="E44" s="22" t="s">
        <v>396</v>
      </c>
      <c r="F44" s="23">
        <v>340679</v>
      </c>
      <c r="G44" s="23">
        <v>730777</v>
      </c>
      <c r="H44" s="24">
        <v>6.9167034998428689E-2</v>
      </c>
      <c r="I44" s="25">
        <v>45390</v>
      </c>
      <c r="J44" s="22" t="s">
        <v>53</v>
      </c>
      <c r="K44" s="22" t="s">
        <v>54</v>
      </c>
      <c r="L44" s="22"/>
      <c r="M44" s="22" t="s">
        <v>397</v>
      </c>
      <c r="N44" s="25">
        <v>45555</v>
      </c>
      <c r="O44" s="22" t="s">
        <v>91</v>
      </c>
      <c r="P44" s="25"/>
      <c r="Q44" s="23">
        <v>18</v>
      </c>
      <c r="R44" s="23">
        <v>18</v>
      </c>
      <c r="S44" s="23">
        <v>0</v>
      </c>
      <c r="T44" s="23">
        <v>0</v>
      </c>
      <c r="U44" s="52">
        <v>0</v>
      </c>
      <c r="V44" s="52">
        <v>0</v>
      </c>
      <c r="W44" s="52">
        <v>18</v>
      </c>
      <c r="X44" s="52">
        <v>0</v>
      </c>
      <c r="Y44" s="52">
        <v>0</v>
      </c>
      <c r="Z44" s="52">
        <v>0</v>
      </c>
      <c r="AA44" s="52">
        <v>0</v>
      </c>
      <c r="AB44" s="52">
        <v>0</v>
      </c>
      <c r="AC44" s="52">
        <v>0</v>
      </c>
      <c r="AD44" s="52">
        <v>0</v>
      </c>
      <c r="AE44" s="52">
        <v>0</v>
      </c>
      <c r="AF44" s="52">
        <f>SUM(Table6[[#This Row],[Programmed Y1 (26-27)]:[Later Years]])</f>
        <v>18</v>
      </c>
      <c r="AG44" s="22" t="s">
        <v>57</v>
      </c>
      <c r="AH44" s="22" t="s">
        <v>58</v>
      </c>
      <c r="AI44" s="23">
        <v>18</v>
      </c>
      <c r="AJ44" s="23">
        <v>0</v>
      </c>
      <c r="AK44" s="23">
        <v>18</v>
      </c>
      <c r="AL44" s="23">
        <v>0</v>
      </c>
      <c r="AM44" s="22" t="s">
        <v>59</v>
      </c>
      <c r="AN44" s="22" t="s">
        <v>60</v>
      </c>
      <c r="AO44" s="22"/>
      <c r="AP44" s="22" t="s">
        <v>398</v>
      </c>
      <c r="AQ44" s="22" t="s">
        <v>398</v>
      </c>
      <c r="AR44" s="23" t="s">
        <v>135</v>
      </c>
      <c r="AS44" s="23" t="s">
        <v>63</v>
      </c>
      <c r="AT44" s="22" t="s">
        <v>63</v>
      </c>
      <c r="AU44" s="22"/>
      <c r="AV44" s="22"/>
    </row>
    <row r="45" spans="1:48" s="1" customFormat="1" ht="29.1">
      <c r="A45" s="15" t="s">
        <v>399</v>
      </c>
      <c r="B45" s="22" t="s">
        <v>400</v>
      </c>
      <c r="C45" s="23"/>
      <c r="D45" s="22" t="s">
        <v>401</v>
      </c>
      <c r="E45" s="22" t="s">
        <v>402</v>
      </c>
      <c r="F45" s="23">
        <v>340125</v>
      </c>
      <c r="G45" s="23">
        <v>731525</v>
      </c>
      <c r="H45" s="24">
        <v>1.634851289840521</v>
      </c>
      <c r="I45" s="25">
        <v>45442</v>
      </c>
      <c r="J45" s="22" t="s">
        <v>53</v>
      </c>
      <c r="K45" s="22" t="s">
        <v>54</v>
      </c>
      <c r="L45" s="22"/>
      <c r="M45" s="22" t="s">
        <v>403</v>
      </c>
      <c r="N45" s="25">
        <v>45442</v>
      </c>
      <c r="O45" s="22" t="s">
        <v>91</v>
      </c>
      <c r="P45" s="25"/>
      <c r="Q45" s="23">
        <v>131</v>
      </c>
      <c r="R45" s="23">
        <v>131</v>
      </c>
      <c r="S45" s="23">
        <v>0</v>
      </c>
      <c r="T45" s="23">
        <v>0</v>
      </c>
      <c r="U45" s="52">
        <v>31</v>
      </c>
      <c r="V45" s="52">
        <v>50</v>
      </c>
      <c r="W45" s="52">
        <v>50</v>
      </c>
      <c r="X45" s="52">
        <v>0</v>
      </c>
      <c r="Y45" s="52">
        <v>0</v>
      </c>
      <c r="Z45" s="52">
        <v>0</v>
      </c>
      <c r="AA45" s="52">
        <v>0</v>
      </c>
      <c r="AB45" s="52">
        <v>0</v>
      </c>
      <c r="AC45" s="52">
        <v>0</v>
      </c>
      <c r="AD45" s="52">
        <v>0</v>
      </c>
      <c r="AE45" s="52">
        <v>0</v>
      </c>
      <c r="AF45" s="52">
        <f>SUM(Table6[[#This Row],[Programmed Y1 (26-27)]:[Later Years]])</f>
        <v>131</v>
      </c>
      <c r="AG45" s="22" t="s">
        <v>57</v>
      </c>
      <c r="AH45" s="22" t="s">
        <v>202</v>
      </c>
      <c r="AI45" s="23">
        <v>0</v>
      </c>
      <c r="AJ45" s="23">
        <v>131</v>
      </c>
      <c r="AK45" s="23">
        <v>122</v>
      </c>
      <c r="AL45" s="23">
        <v>9</v>
      </c>
      <c r="AM45" s="22" t="s">
        <v>59</v>
      </c>
      <c r="AN45" s="22" t="s">
        <v>60</v>
      </c>
      <c r="AO45" s="22"/>
      <c r="AP45" s="22" t="s">
        <v>404</v>
      </c>
      <c r="AQ45" s="22" t="s">
        <v>405</v>
      </c>
      <c r="AR45" s="23" t="s">
        <v>135</v>
      </c>
      <c r="AS45" s="23" t="s">
        <v>136</v>
      </c>
      <c r="AT45" s="22" t="s">
        <v>63</v>
      </c>
      <c r="AU45" s="22"/>
      <c r="AV45" s="22" t="s">
        <v>406</v>
      </c>
    </row>
    <row r="46" spans="1:48" s="1" customFormat="1" ht="29.1">
      <c r="A46" s="15" t="s">
        <v>407</v>
      </c>
      <c r="B46" s="22" t="s">
        <v>408</v>
      </c>
      <c r="C46" s="23"/>
      <c r="D46" s="22" t="s">
        <v>409</v>
      </c>
      <c r="E46" s="22" t="s">
        <v>410</v>
      </c>
      <c r="F46" s="23">
        <v>346265</v>
      </c>
      <c r="G46" s="23">
        <v>730684</v>
      </c>
      <c r="H46" s="24">
        <v>6.2191052380299573E-2</v>
      </c>
      <c r="I46" s="25">
        <v>45478</v>
      </c>
      <c r="J46" s="22" t="s">
        <v>53</v>
      </c>
      <c r="K46" s="22" t="s">
        <v>54</v>
      </c>
      <c r="L46" s="22"/>
      <c r="M46" s="22" t="s">
        <v>411</v>
      </c>
      <c r="N46" s="25">
        <v>45716</v>
      </c>
      <c r="O46" s="22" t="s">
        <v>91</v>
      </c>
      <c r="P46" s="25"/>
      <c r="Q46" s="23">
        <v>7</v>
      </c>
      <c r="R46" s="23">
        <v>7</v>
      </c>
      <c r="S46" s="23">
        <v>0</v>
      </c>
      <c r="T46" s="23">
        <v>0</v>
      </c>
      <c r="U46" s="52">
        <v>7</v>
      </c>
      <c r="V46" s="52">
        <v>0</v>
      </c>
      <c r="W46" s="52">
        <v>0</v>
      </c>
      <c r="X46" s="52">
        <v>0</v>
      </c>
      <c r="Y46" s="52">
        <v>0</v>
      </c>
      <c r="Z46" s="52">
        <v>0</v>
      </c>
      <c r="AA46" s="52">
        <v>0</v>
      </c>
      <c r="AB46" s="52">
        <v>0</v>
      </c>
      <c r="AC46" s="52">
        <v>0</v>
      </c>
      <c r="AD46" s="52">
        <v>0</v>
      </c>
      <c r="AE46" s="52">
        <v>0</v>
      </c>
      <c r="AF46" s="52">
        <f>SUM(Table6[[#This Row],[Programmed Y1 (26-27)]:[Later Years]])</f>
        <v>7</v>
      </c>
      <c r="AG46" s="22" t="s">
        <v>57</v>
      </c>
      <c r="AH46" s="22" t="s">
        <v>202</v>
      </c>
      <c r="AI46" s="23">
        <v>0</v>
      </c>
      <c r="AJ46" s="23">
        <v>7</v>
      </c>
      <c r="AK46" s="23">
        <v>7</v>
      </c>
      <c r="AL46" s="23">
        <v>0</v>
      </c>
      <c r="AM46" s="22" t="s">
        <v>59</v>
      </c>
      <c r="AN46" s="22" t="s">
        <v>60</v>
      </c>
      <c r="AO46" s="22"/>
      <c r="AP46" s="22" t="s">
        <v>224</v>
      </c>
      <c r="AQ46" s="22" t="s">
        <v>224</v>
      </c>
      <c r="AR46" s="23" t="s">
        <v>135</v>
      </c>
      <c r="AS46" s="23" t="s">
        <v>63</v>
      </c>
      <c r="AT46" s="22" t="s">
        <v>63</v>
      </c>
      <c r="AU46" s="22"/>
      <c r="AV46" s="22"/>
    </row>
    <row r="47" spans="1:48" s="1" customFormat="1" ht="29.1">
      <c r="A47" s="15" t="s">
        <v>412</v>
      </c>
      <c r="B47" s="22" t="s">
        <v>413</v>
      </c>
      <c r="C47" s="23"/>
      <c r="D47" s="22" t="s">
        <v>414</v>
      </c>
      <c r="E47" s="22" t="s">
        <v>415</v>
      </c>
      <c r="F47" s="23">
        <v>339571</v>
      </c>
      <c r="G47" s="23">
        <v>731966</v>
      </c>
      <c r="H47" s="24">
        <v>0.1422170078280999</v>
      </c>
      <c r="I47" s="25">
        <v>45524</v>
      </c>
      <c r="J47" s="22" t="s">
        <v>53</v>
      </c>
      <c r="K47" s="22" t="s">
        <v>54</v>
      </c>
      <c r="L47" s="22"/>
      <c r="M47" s="22" t="s">
        <v>416</v>
      </c>
      <c r="N47" s="25">
        <v>45674</v>
      </c>
      <c r="O47" s="22" t="s">
        <v>56</v>
      </c>
      <c r="P47" s="25">
        <v>46027</v>
      </c>
      <c r="Q47" s="23">
        <v>9</v>
      </c>
      <c r="R47" s="23">
        <v>9</v>
      </c>
      <c r="S47" s="23">
        <v>0</v>
      </c>
      <c r="T47" s="23">
        <v>0</v>
      </c>
      <c r="U47" s="52">
        <v>0</v>
      </c>
      <c r="V47" s="52">
        <v>9</v>
      </c>
      <c r="W47" s="52">
        <v>0</v>
      </c>
      <c r="X47" s="52">
        <v>0</v>
      </c>
      <c r="Y47" s="52">
        <v>0</v>
      </c>
      <c r="Z47" s="52">
        <v>0</v>
      </c>
      <c r="AA47" s="52">
        <v>0</v>
      </c>
      <c r="AB47" s="52">
        <v>0</v>
      </c>
      <c r="AC47" s="52">
        <v>0</v>
      </c>
      <c r="AD47" s="52">
        <v>0</v>
      </c>
      <c r="AE47" s="52">
        <v>0</v>
      </c>
      <c r="AF47" s="52">
        <f>SUM(Table6[[#This Row],[Programmed Y1 (26-27)]:[Later Years]])</f>
        <v>9</v>
      </c>
      <c r="AG47" s="22" t="s">
        <v>57</v>
      </c>
      <c r="AH47" s="22" t="s">
        <v>58</v>
      </c>
      <c r="AI47" s="23">
        <v>9</v>
      </c>
      <c r="AJ47" s="23">
        <v>0</v>
      </c>
      <c r="AK47" s="23">
        <v>0</v>
      </c>
      <c r="AL47" s="23">
        <v>0</v>
      </c>
      <c r="AM47" s="22" t="s">
        <v>59</v>
      </c>
      <c r="AN47" s="22" t="s">
        <v>60</v>
      </c>
      <c r="AO47" s="22"/>
      <c r="AP47" s="22" t="s">
        <v>417</v>
      </c>
      <c r="AQ47" s="22" t="s">
        <v>417</v>
      </c>
      <c r="AR47" s="23" t="s">
        <v>135</v>
      </c>
      <c r="AS47" s="23" t="s">
        <v>63</v>
      </c>
      <c r="AT47" s="22" t="s">
        <v>63</v>
      </c>
      <c r="AU47" s="22"/>
      <c r="AV47" s="22"/>
    </row>
    <row r="48" spans="1:48" s="1" customFormat="1" ht="29.1">
      <c r="A48" s="15" t="s">
        <v>418</v>
      </c>
      <c r="B48" s="53" t="s">
        <v>419</v>
      </c>
      <c r="C48" s="23"/>
      <c r="D48" s="22" t="s">
        <v>420</v>
      </c>
      <c r="E48" s="22" t="s">
        <v>421</v>
      </c>
      <c r="F48" s="23">
        <v>337561</v>
      </c>
      <c r="G48" s="23">
        <v>731866</v>
      </c>
      <c r="H48" s="24">
        <v>0.33904591394931399</v>
      </c>
      <c r="I48" s="25">
        <v>45600</v>
      </c>
      <c r="J48" s="22" t="s">
        <v>53</v>
      </c>
      <c r="K48" s="22" t="s">
        <v>54</v>
      </c>
      <c r="L48" s="22"/>
      <c r="M48" s="22" t="s">
        <v>422</v>
      </c>
      <c r="N48" s="25">
        <v>45728</v>
      </c>
      <c r="O48" s="22" t="s">
        <v>56</v>
      </c>
      <c r="P48" s="25">
        <v>45887</v>
      </c>
      <c r="Q48" s="23">
        <v>8</v>
      </c>
      <c r="R48" s="23">
        <v>8</v>
      </c>
      <c r="S48" s="23">
        <v>0</v>
      </c>
      <c r="T48" s="23">
        <v>0</v>
      </c>
      <c r="U48" s="52">
        <v>8</v>
      </c>
      <c r="V48" s="52">
        <v>0</v>
      </c>
      <c r="W48" s="52">
        <v>0</v>
      </c>
      <c r="X48" s="52">
        <v>0</v>
      </c>
      <c r="Y48" s="52">
        <v>0</v>
      </c>
      <c r="Z48" s="52">
        <v>0</v>
      </c>
      <c r="AA48" s="52">
        <v>0</v>
      </c>
      <c r="AB48" s="52">
        <v>0</v>
      </c>
      <c r="AC48" s="52">
        <v>0</v>
      </c>
      <c r="AD48" s="52">
        <v>0</v>
      </c>
      <c r="AE48" s="52">
        <v>0</v>
      </c>
      <c r="AF48" s="52">
        <f>SUM(Table6[[#This Row],[Programmed Y1 (26-27)]:[Later Years]])</f>
        <v>8</v>
      </c>
      <c r="AG48" s="22" t="s">
        <v>57</v>
      </c>
      <c r="AH48" s="22" t="s">
        <v>202</v>
      </c>
      <c r="AI48" s="23">
        <v>0</v>
      </c>
      <c r="AJ48" s="23">
        <v>8</v>
      </c>
      <c r="AK48" s="23">
        <v>0</v>
      </c>
      <c r="AL48" s="23">
        <v>8</v>
      </c>
      <c r="AM48" s="22" t="s">
        <v>59</v>
      </c>
      <c r="AN48" s="22" t="s">
        <v>60</v>
      </c>
      <c r="AO48" s="22"/>
      <c r="AP48" s="22" t="s">
        <v>423</v>
      </c>
      <c r="AQ48" s="22" t="s">
        <v>423</v>
      </c>
      <c r="AR48" s="23" t="s">
        <v>135</v>
      </c>
      <c r="AS48" s="23" t="s">
        <v>63</v>
      </c>
      <c r="AT48" s="22" t="s">
        <v>63</v>
      </c>
      <c r="AU48" s="22"/>
      <c r="AV48" s="22"/>
    </row>
    <row r="49" spans="1:48" s="1" customFormat="1" ht="29.1">
      <c r="A49" s="15" t="s">
        <v>424</v>
      </c>
      <c r="B49" s="22" t="s">
        <v>425</v>
      </c>
      <c r="C49" s="23"/>
      <c r="D49" s="22" t="s">
        <v>426</v>
      </c>
      <c r="E49" s="22" t="s">
        <v>427</v>
      </c>
      <c r="F49" s="23">
        <v>340546</v>
      </c>
      <c r="G49" s="23">
        <v>730299</v>
      </c>
      <c r="H49" s="24">
        <v>3.1011390000410501E-2</v>
      </c>
      <c r="I49" s="25">
        <v>45636</v>
      </c>
      <c r="J49" s="22" t="s">
        <v>53</v>
      </c>
      <c r="K49" s="22" t="s">
        <v>54</v>
      </c>
      <c r="L49" s="22"/>
      <c r="M49" s="22" t="s">
        <v>428</v>
      </c>
      <c r="N49" s="25">
        <v>45744</v>
      </c>
      <c r="O49" s="22" t="s">
        <v>91</v>
      </c>
      <c r="P49" s="25"/>
      <c r="Q49" s="23">
        <v>4</v>
      </c>
      <c r="R49" s="23">
        <v>4</v>
      </c>
      <c r="S49" s="23">
        <v>0</v>
      </c>
      <c r="T49" s="23">
        <v>0</v>
      </c>
      <c r="U49" s="52">
        <v>0</v>
      </c>
      <c r="V49" s="52">
        <v>4</v>
      </c>
      <c r="W49" s="52">
        <v>0</v>
      </c>
      <c r="X49" s="52">
        <v>0</v>
      </c>
      <c r="Y49" s="52">
        <v>0</v>
      </c>
      <c r="Z49" s="52">
        <v>0</v>
      </c>
      <c r="AA49" s="52">
        <v>0</v>
      </c>
      <c r="AB49" s="52">
        <v>0</v>
      </c>
      <c r="AC49" s="52">
        <v>0</v>
      </c>
      <c r="AD49" s="52">
        <v>0</v>
      </c>
      <c r="AE49" s="52">
        <v>0</v>
      </c>
      <c r="AF49" s="52">
        <f>SUM(Table6[[#This Row],[Programmed Y1 (26-27)]:[Later Years]])</f>
        <v>4</v>
      </c>
      <c r="AG49" s="22" t="s">
        <v>57</v>
      </c>
      <c r="AH49" s="22" t="s">
        <v>58</v>
      </c>
      <c r="AI49" s="23">
        <v>4</v>
      </c>
      <c r="AJ49" s="23">
        <v>0</v>
      </c>
      <c r="AK49" s="23">
        <v>4</v>
      </c>
      <c r="AL49" s="23">
        <v>0</v>
      </c>
      <c r="AM49" s="22" t="s">
        <v>59</v>
      </c>
      <c r="AN49" s="22" t="s">
        <v>60</v>
      </c>
      <c r="AO49" s="22"/>
      <c r="AP49" s="22" t="s">
        <v>429</v>
      </c>
      <c r="AQ49" s="22" t="s">
        <v>429</v>
      </c>
      <c r="AR49" s="23" t="s">
        <v>135</v>
      </c>
      <c r="AS49" s="23" t="s">
        <v>63</v>
      </c>
      <c r="AT49" s="22" t="s">
        <v>63</v>
      </c>
      <c r="AU49" s="22"/>
      <c r="AV49" s="22"/>
    </row>
    <row r="50" spans="1:48" s="1" customFormat="1" ht="30.6" customHeight="1">
      <c r="A50" s="15" t="s">
        <v>430</v>
      </c>
      <c r="B50" s="22" t="s">
        <v>431</v>
      </c>
      <c r="C50" s="23"/>
      <c r="D50" s="22" t="s">
        <v>432</v>
      </c>
      <c r="E50" s="22" t="s">
        <v>433</v>
      </c>
      <c r="F50" s="23">
        <v>340689</v>
      </c>
      <c r="G50" s="23">
        <v>730402</v>
      </c>
      <c r="H50" s="24">
        <v>8.0692702500695629E-2</v>
      </c>
      <c r="I50" s="25">
        <v>45079</v>
      </c>
      <c r="J50" s="22" t="s">
        <v>53</v>
      </c>
      <c r="K50" s="22" t="s">
        <v>54</v>
      </c>
      <c r="L50" s="22"/>
      <c r="M50" s="22" t="s">
        <v>434</v>
      </c>
      <c r="N50" s="25">
        <v>45079</v>
      </c>
      <c r="O50" s="22" t="s">
        <v>91</v>
      </c>
      <c r="P50" s="25"/>
      <c r="Q50" s="23">
        <v>28</v>
      </c>
      <c r="R50" s="23">
        <v>28</v>
      </c>
      <c r="S50" s="23">
        <v>0</v>
      </c>
      <c r="T50" s="23">
        <v>0</v>
      </c>
      <c r="U50" s="52">
        <v>0</v>
      </c>
      <c r="V50" s="52">
        <v>28</v>
      </c>
      <c r="W50" s="52">
        <v>0</v>
      </c>
      <c r="X50" s="52">
        <v>0</v>
      </c>
      <c r="Y50" s="52">
        <v>0</v>
      </c>
      <c r="Z50" s="52">
        <v>0</v>
      </c>
      <c r="AA50" s="52">
        <v>0</v>
      </c>
      <c r="AB50" s="52">
        <v>0</v>
      </c>
      <c r="AC50" s="52">
        <v>0</v>
      </c>
      <c r="AD50" s="52">
        <v>0</v>
      </c>
      <c r="AE50" s="52">
        <v>0</v>
      </c>
      <c r="AF50" s="52">
        <f>SUM(Table6[[#This Row],[Programmed Y1 (26-27)]:[Later Years]])</f>
        <v>28</v>
      </c>
      <c r="AG50" s="53" t="s">
        <v>57</v>
      </c>
      <c r="AH50" s="53" t="s">
        <v>58</v>
      </c>
      <c r="AI50" s="54">
        <v>28</v>
      </c>
      <c r="AJ50" s="23">
        <v>0</v>
      </c>
      <c r="AK50" s="23">
        <v>28</v>
      </c>
      <c r="AL50" s="23">
        <v>0</v>
      </c>
      <c r="AM50" s="22" t="s">
        <v>59</v>
      </c>
      <c r="AN50" s="22" t="s">
        <v>60</v>
      </c>
      <c r="AO50" s="22"/>
      <c r="AP50" s="22"/>
      <c r="AQ50" s="22"/>
      <c r="AR50" s="23" t="s">
        <v>135</v>
      </c>
      <c r="AS50" s="23" t="s">
        <v>63</v>
      </c>
      <c r="AT50" s="22" t="s">
        <v>63</v>
      </c>
      <c r="AU50" s="22"/>
      <c r="AV50" s="22" t="s">
        <v>435</v>
      </c>
    </row>
    <row r="51" spans="1:48" s="1" customFormat="1" ht="36.950000000000003" customHeight="1">
      <c r="A51" s="15" t="s">
        <v>436</v>
      </c>
      <c r="B51" s="22" t="s">
        <v>437</v>
      </c>
      <c r="C51" s="23"/>
      <c r="D51" s="22" t="s">
        <v>438</v>
      </c>
      <c r="E51" s="22" t="s">
        <v>439</v>
      </c>
      <c r="F51" s="23">
        <v>337615</v>
      </c>
      <c r="G51" s="23">
        <v>729923</v>
      </c>
      <c r="H51" s="24">
        <v>1.1480994709017509</v>
      </c>
      <c r="I51" s="25">
        <v>45988</v>
      </c>
      <c r="J51" s="22" t="s">
        <v>53</v>
      </c>
      <c r="K51" s="22" t="s">
        <v>54</v>
      </c>
      <c r="L51" s="22"/>
      <c r="M51" s="22" t="s">
        <v>440</v>
      </c>
      <c r="N51" s="25">
        <v>45988</v>
      </c>
      <c r="O51" s="22" t="s">
        <v>91</v>
      </c>
      <c r="P51" s="25"/>
      <c r="Q51" s="23">
        <v>25</v>
      </c>
      <c r="R51" s="23">
        <v>25</v>
      </c>
      <c r="S51" s="23">
        <v>0</v>
      </c>
      <c r="T51" s="23">
        <v>0</v>
      </c>
      <c r="U51" s="52">
        <v>12</v>
      </c>
      <c r="V51" s="52">
        <v>13</v>
      </c>
      <c r="W51" s="52">
        <v>0</v>
      </c>
      <c r="X51" s="52">
        <v>0</v>
      </c>
      <c r="Y51" s="52">
        <v>0</v>
      </c>
      <c r="Z51" s="52">
        <v>0</v>
      </c>
      <c r="AA51" s="52">
        <v>0</v>
      </c>
      <c r="AB51" s="52">
        <v>0</v>
      </c>
      <c r="AC51" s="52">
        <v>0</v>
      </c>
      <c r="AD51" s="52">
        <v>0</v>
      </c>
      <c r="AE51" s="52">
        <v>0</v>
      </c>
      <c r="AF51" s="52">
        <f>SUM(Table6[[#This Row],[Programmed Y1 (26-27)]:[Later Years]])</f>
        <v>25</v>
      </c>
      <c r="AG51" s="53" t="s">
        <v>57</v>
      </c>
      <c r="AH51" s="53" t="s">
        <v>58</v>
      </c>
      <c r="AI51" s="54">
        <v>25</v>
      </c>
      <c r="AJ51" s="23">
        <v>0</v>
      </c>
      <c r="AK51" s="23">
        <v>20</v>
      </c>
      <c r="AL51" s="23">
        <v>5</v>
      </c>
      <c r="AM51" s="22" t="s">
        <v>59</v>
      </c>
      <c r="AN51" s="22" t="s">
        <v>60</v>
      </c>
      <c r="AO51" s="22"/>
      <c r="AP51" s="22" t="s">
        <v>126</v>
      </c>
      <c r="AQ51" s="22" t="s">
        <v>126</v>
      </c>
      <c r="AR51" s="23" t="s">
        <v>135</v>
      </c>
      <c r="AS51" s="23" t="s">
        <v>63</v>
      </c>
      <c r="AT51" s="22" t="s">
        <v>63</v>
      </c>
      <c r="AU51" s="22"/>
      <c r="AV51" s="22"/>
    </row>
    <row r="52" spans="1:48" s="1" customFormat="1" ht="29.1">
      <c r="A52" s="15" t="s">
        <v>441</v>
      </c>
      <c r="B52" s="22" t="s">
        <v>281</v>
      </c>
      <c r="C52" s="23"/>
      <c r="D52" s="22" t="s">
        <v>442</v>
      </c>
      <c r="E52" s="22" t="s">
        <v>443</v>
      </c>
      <c r="F52" s="23">
        <v>344640</v>
      </c>
      <c r="G52" s="23">
        <v>733295</v>
      </c>
      <c r="H52" s="24">
        <v>0.26142118045015122</v>
      </c>
      <c r="I52" s="25">
        <v>46048</v>
      </c>
      <c r="J52" s="22" t="s">
        <v>53</v>
      </c>
      <c r="K52" s="22" t="s">
        <v>89</v>
      </c>
      <c r="L52" s="22"/>
      <c r="M52" s="22" t="s">
        <v>444</v>
      </c>
      <c r="N52" s="25">
        <v>46048</v>
      </c>
      <c r="O52" s="22" t="s">
        <v>91</v>
      </c>
      <c r="P52" s="25"/>
      <c r="Q52" s="23">
        <v>7</v>
      </c>
      <c r="R52" s="23">
        <v>7</v>
      </c>
      <c r="S52" s="23">
        <v>0</v>
      </c>
      <c r="T52" s="23">
        <v>0</v>
      </c>
      <c r="U52" s="52">
        <v>0</v>
      </c>
      <c r="V52" s="52">
        <v>7</v>
      </c>
      <c r="W52" s="52">
        <v>0</v>
      </c>
      <c r="X52" s="52">
        <v>0</v>
      </c>
      <c r="Y52" s="52">
        <v>0</v>
      </c>
      <c r="Z52" s="52">
        <v>0</v>
      </c>
      <c r="AA52" s="52">
        <v>0</v>
      </c>
      <c r="AB52" s="52">
        <v>0</v>
      </c>
      <c r="AC52" s="52">
        <v>0</v>
      </c>
      <c r="AD52" s="52">
        <v>0</v>
      </c>
      <c r="AE52" s="52">
        <v>0</v>
      </c>
      <c r="AF52" s="52">
        <f>SUM(Table6[[#This Row],[Programmed Y1 (26-27)]:[Later Years]])</f>
        <v>7</v>
      </c>
      <c r="AG52" s="53" t="s">
        <v>57</v>
      </c>
      <c r="AH52" s="53" t="s">
        <v>58</v>
      </c>
      <c r="AI52" s="54">
        <v>7</v>
      </c>
      <c r="AJ52" s="23">
        <v>0</v>
      </c>
      <c r="AK52" s="23">
        <v>0</v>
      </c>
      <c r="AL52" s="23">
        <v>7</v>
      </c>
      <c r="AM52" s="22" t="s">
        <v>59</v>
      </c>
      <c r="AN52" s="22" t="s">
        <v>60</v>
      </c>
      <c r="AO52" s="22"/>
      <c r="AP52" s="22"/>
      <c r="AQ52" s="22"/>
      <c r="AR52" s="23" t="s">
        <v>135</v>
      </c>
      <c r="AS52" s="23" t="s">
        <v>63</v>
      </c>
      <c r="AT52" s="22" t="s">
        <v>63</v>
      </c>
      <c r="AU52" s="22"/>
      <c r="AV52" s="22"/>
    </row>
    <row r="53" spans="1:48" ht="56.45" customHeight="1">
      <c r="A53" s="42" t="s">
        <v>445</v>
      </c>
      <c r="B53" s="43"/>
      <c r="C53" s="44"/>
      <c r="D53" s="43"/>
      <c r="E53" s="43"/>
      <c r="F53" s="44"/>
      <c r="G53" s="44"/>
      <c r="H53" s="45"/>
      <c r="I53" s="46"/>
      <c r="J53" s="43"/>
      <c r="K53" s="43"/>
      <c r="L53" s="43"/>
      <c r="M53" s="43"/>
      <c r="N53" s="46"/>
      <c r="O53" s="43"/>
      <c r="P53" s="46"/>
      <c r="Q53" s="44">
        <f>SUBTOTAL(109,Table6[Site capacity])</f>
        <v>2269</v>
      </c>
      <c r="R53" s="44">
        <f>SUBTOTAL(109,Table6[Units to build])</f>
        <v>1818</v>
      </c>
      <c r="S53" s="44">
        <f>SUBTOTAL(109,Table6[Plots completed in survey year])</f>
        <v>141</v>
      </c>
      <c r="T53" s="44">
        <f>SUBTOTAL(109,Table6[Total completions])</f>
        <v>451</v>
      </c>
      <c r="U53" s="44">
        <f>SUBTOTAL(109,Table6[Programmed Y1 (26-27)])</f>
        <v>306</v>
      </c>
      <c r="V53" s="44">
        <f>SUBTOTAL(109,Table6[Programmed Y2 (27-28)])</f>
        <v>536</v>
      </c>
      <c r="W53" s="44">
        <f>SUBTOTAL(109,Table6[Programmed Y3 (28-29)])</f>
        <v>315</v>
      </c>
      <c r="X53" s="44">
        <f>SUBTOTAL(109,Table6[Programmed Y4 (29-30)])</f>
        <v>237</v>
      </c>
      <c r="Y53" s="44">
        <f>SUBTOTAL(109,Table6[Programmed Y5 (30-31)])</f>
        <v>182</v>
      </c>
      <c r="Z53" s="44">
        <f>SUBTOTAL(109,Table6[Programmed Y6 (31-32)])</f>
        <v>156</v>
      </c>
      <c r="AA53" s="44">
        <f>SUBTOTAL(109,Table6[Programmed Y7 (32-33)])</f>
        <v>76</v>
      </c>
      <c r="AB53" s="44">
        <f>SUBTOTAL(109,Table6[Programmed Y8 (33-34)])</f>
        <v>0</v>
      </c>
      <c r="AC53" s="44">
        <f>SUBTOTAL(109,Table6[Programmed Y9 (34-35)])</f>
        <v>0</v>
      </c>
      <c r="AD53" s="44">
        <f>SUBTOTAL(109,Table6[Programmed Y10 (35-36)])</f>
        <v>0</v>
      </c>
      <c r="AE53" s="44">
        <f>SUBTOTAL(109,Table6[Later Years])</f>
        <v>10</v>
      </c>
      <c r="AF53" s="44">
        <f>SUBTOTAL(109,Table6[Total Programmed])</f>
        <v>1818</v>
      </c>
      <c r="AG53" s="43"/>
      <c r="AH53" s="43"/>
      <c r="AI53" s="44">
        <f>SUBTOTAL(109,Table6[Number Market])</f>
        <v>1186</v>
      </c>
      <c r="AJ53" s="44">
        <f>SUBTOTAL(109,Table6[Number Affordable])</f>
        <v>475</v>
      </c>
      <c r="AK53" s="44">
        <f>SUBTOTAL(109,Table6[No of flats])</f>
        <v>999</v>
      </c>
      <c r="AL53" s="44">
        <f>SUBTOTAL(109,Table6[No of houses])</f>
        <v>641</v>
      </c>
      <c r="AM53" s="43"/>
      <c r="AN53" s="43"/>
      <c r="AO53" s="43"/>
      <c r="AP53" s="43"/>
      <c r="AQ53" s="43"/>
      <c r="AR53" s="44"/>
      <c r="AS53" s="44"/>
      <c r="AT53" s="43"/>
      <c r="AU53" s="43"/>
      <c r="AV53" s="43"/>
    </row>
    <row r="54" spans="1:48" ht="14.45">
      <c r="AM54" s="32"/>
      <c r="AN54" s="32"/>
    </row>
    <row r="55" spans="1:48" ht="14.45">
      <c r="AM55" s="32"/>
      <c r="AN55" s="32"/>
    </row>
  </sheetData>
  <mergeCells count="1">
    <mergeCell ref="A1:AV1"/>
  </mergeCells>
  <conditionalFormatting sqref="Q3:AV5 Q6:Z6 AB6:AV6 Q38:V39 X38:AV39">
    <cfRule type="cellIs" dxfId="377" priority="3" operator="equal">
      <formula>0</formula>
    </cfRule>
  </conditionalFormatting>
  <conditionalFormatting sqref="Q7:AV37 Q40:AV52">
    <cfRule type="cellIs" dxfId="376" priority="1" operator="equal">
      <formula>0</formula>
    </cfRule>
  </conditionalFormatting>
  <conditionalFormatting sqref="W38:W39">
    <cfRule type="cellIs" dxfId="375" priority="2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B1468-CBCA-48EF-9384-8BE6958C1197}">
  <dimension ref="A1:AJ61"/>
  <sheetViews>
    <sheetView workbookViewId="0">
      <pane xSplit="2" ySplit="2" topLeftCell="C3" activePane="bottomRight" state="frozen"/>
      <selection pane="bottomRight" activeCell="A64" sqref="A64"/>
      <selection pane="bottomLeft" activeCell="A3" sqref="A3"/>
      <selection pane="topRight" activeCell="C1" sqref="C1"/>
    </sheetView>
  </sheetViews>
  <sheetFormatPr defaultRowHeight="15" customHeight="1"/>
  <cols>
    <col min="1" max="1" width="15.85546875" customWidth="1"/>
    <col min="2" max="2" width="14.85546875" customWidth="1"/>
    <col min="3" max="3" width="10.42578125" customWidth="1"/>
    <col min="4" max="4" width="50.5703125" customWidth="1"/>
    <col min="5" max="5" width="12.85546875" bestFit="1" customWidth="1"/>
    <col min="6" max="6" width="12.140625" bestFit="1" customWidth="1"/>
    <col min="7" max="7" width="13.85546875" bestFit="1" customWidth="1"/>
    <col min="8" max="8" width="9.28515625" customWidth="1"/>
    <col min="9" max="9" width="14.28515625" customWidth="1"/>
    <col min="10" max="10" width="13.140625" customWidth="1"/>
    <col min="11" max="11" width="18" bestFit="1" customWidth="1"/>
    <col min="12" max="12" width="14.85546875" bestFit="1" customWidth="1"/>
    <col min="13" max="13" width="29.140625" customWidth="1"/>
    <col min="14" max="14" width="17.85546875" customWidth="1"/>
    <col min="15" max="15" width="15.42578125" customWidth="1"/>
    <col min="16" max="16" width="12.5703125" customWidth="1"/>
    <col min="17" max="17" width="8.85546875" customWidth="1"/>
    <col min="18" max="18" width="8.5703125" customWidth="1"/>
    <col min="19" max="19" width="13.140625" customWidth="1"/>
    <col min="20" max="20" width="13" customWidth="1"/>
    <col min="21" max="21" width="14.85546875" customWidth="1"/>
    <col min="22" max="22" width="12.7109375" customWidth="1"/>
    <col min="23" max="23" width="11.42578125" customWidth="1"/>
    <col min="24" max="24" width="13.140625" customWidth="1"/>
    <col min="25" max="25" width="9.5703125" customWidth="1"/>
    <col min="26" max="26" width="10.42578125" customWidth="1"/>
    <col min="27" max="27" width="15.140625" customWidth="1"/>
    <col min="28" max="28" width="13.5703125" customWidth="1"/>
    <col min="29" max="29" width="11.7109375" customWidth="1"/>
    <col min="30" max="30" width="19.7109375" customWidth="1"/>
    <col min="31" max="31" width="19" customWidth="1"/>
    <col min="32" max="32" width="11.28515625" customWidth="1"/>
    <col min="33" max="33" width="7.85546875" customWidth="1"/>
    <col min="34" max="34" width="11.5703125" customWidth="1"/>
    <col min="35" max="35" width="10" customWidth="1"/>
    <col min="36" max="36" width="25" customWidth="1"/>
  </cols>
  <sheetData>
    <row r="1" spans="1:36" ht="63" customHeight="1">
      <c r="A1" s="55" t="s">
        <v>446</v>
      </c>
    </row>
    <row r="2" spans="1:36" s="1" customFormat="1" ht="46.5">
      <c r="A2" s="8" t="s">
        <v>1</v>
      </c>
      <c r="B2" s="9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10" t="s">
        <v>8</v>
      </c>
      <c r="I2" s="11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11" t="s">
        <v>14</v>
      </c>
      <c r="O2" s="9" t="s">
        <v>15</v>
      </c>
      <c r="P2" s="11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9" t="s">
        <v>33</v>
      </c>
      <c r="V2" s="9" t="s">
        <v>34</v>
      </c>
      <c r="W2" s="8" t="s">
        <v>35</v>
      </c>
      <c r="X2" s="8" t="s">
        <v>36</v>
      </c>
      <c r="Y2" s="8" t="s">
        <v>37</v>
      </c>
      <c r="Z2" s="8" t="s">
        <v>38</v>
      </c>
      <c r="AA2" s="9" t="s">
        <v>39</v>
      </c>
      <c r="AB2" s="9" t="s">
        <v>40</v>
      </c>
      <c r="AC2" s="9" t="s">
        <v>41</v>
      </c>
      <c r="AD2" s="9" t="s">
        <v>42</v>
      </c>
      <c r="AE2" s="9" t="s">
        <v>43</v>
      </c>
      <c r="AF2" s="8" t="s">
        <v>44</v>
      </c>
      <c r="AG2" s="8" t="s">
        <v>45</v>
      </c>
      <c r="AH2" s="9" t="s">
        <v>46</v>
      </c>
      <c r="AI2" s="9" t="s">
        <v>47</v>
      </c>
      <c r="AJ2" s="9" t="s">
        <v>48</v>
      </c>
    </row>
    <row r="3" spans="1:36" s="1" customFormat="1" ht="29.1">
      <c r="A3" s="15" t="s">
        <v>447</v>
      </c>
      <c r="B3" s="1" t="s">
        <v>448</v>
      </c>
      <c r="C3" s="3"/>
      <c r="D3" s="1" t="s">
        <v>449</v>
      </c>
      <c r="E3" s="1" t="s">
        <v>450</v>
      </c>
      <c r="F3" s="3">
        <v>347875</v>
      </c>
      <c r="G3" s="3">
        <v>731329</v>
      </c>
      <c r="H3" s="4">
        <v>4.0366131136699387E-2</v>
      </c>
      <c r="I3" s="2">
        <v>42139</v>
      </c>
      <c r="J3" s="1" t="s">
        <v>53</v>
      </c>
      <c r="K3" s="1" t="s">
        <v>54</v>
      </c>
      <c r="L3" s="1" t="s">
        <v>68</v>
      </c>
      <c r="M3" s="1" t="s">
        <v>451</v>
      </c>
      <c r="N3" s="2">
        <v>43586</v>
      </c>
      <c r="O3" s="1" t="s">
        <v>56</v>
      </c>
      <c r="P3" s="2">
        <v>44449</v>
      </c>
      <c r="Q3" s="3">
        <v>1</v>
      </c>
      <c r="R3" s="3">
        <v>1</v>
      </c>
      <c r="S3" s="3">
        <v>0</v>
      </c>
      <c r="T3" s="3">
        <v>0</v>
      </c>
      <c r="U3" s="1" t="s">
        <v>57</v>
      </c>
      <c r="V3" s="1" t="s">
        <v>58</v>
      </c>
      <c r="W3" s="3">
        <v>1</v>
      </c>
      <c r="X3" s="3">
        <v>0</v>
      </c>
      <c r="Y3" s="3">
        <v>0</v>
      </c>
      <c r="Z3" s="3">
        <v>1</v>
      </c>
      <c r="AA3" s="1" t="s">
        <v>452</v>
      </c>
      <c r="AB3" s="1" t="s">
        <v>60</v>
      </c>
      <c r="AD3" s="1" t="s">
        <v>362</v>
      </c>
      <c r="AE3" s="1" t="s">
        <v>362</v>
      </c>
      <c r="AF3" s="1" t="s">
        <v>135</v>
      </c>
      <c r="AG3" s="3" t="s">
        <v>63</v>
      </c>
      <c r="AH3" s="1" t="s">
        <v>453</v>
      </c>
    </row>
    <row r="4" spans="1:36" s="1" customFormat="1" ht="14.45">
      <c r="A4" s="15" t="s">
        <v>454</v>
      </c>
      <c r="B4" s="1" t="s">
        <v>308</v>
      </c>
      <c r="C4" s="3"/>
      <c r="D4" s="1" t="s">
        <v>455</v>
      </c>
      <c r="E4" s="1" t="s">
        <v>456</v>
      </c>
      <c r="F4" s="3">
        <v>341641</v>
      </c>
      <c r="G4" s="3">
        <v>731598</v>
      </c>
      <c r="H4" s="4">
        <v>0.14294743280004071</v>
      </c>
      <c r="I4" s="2">
        <v>42576</v>
      </c>
      <c r="K4" s="1" t="s">
        <v>54</v>
      </c>
      <c r="M4" s="1" t="s">
        <v>457</v>
      </c>
      <c r="N4" s="2">
        <v>42576</v>
      </c>
      <c r="O4" s="1" t="s">
        <v>56</v>
      </c>
      <c r="P4" s="2">
        <v>44179</v>
      </c>
      <c r="Q4" s="3">
        <v>2</v>
      </c>
      <c r="R4" s="3">
        <v>1</v>
      </c>
      <c r="S4" s="3">
        <v>0</v>
      </c>
      <c r="T4" s="3">
        <v>1</v>
      </c>
      <c r="W4" s="3"/>
      <c r="X4" s="3"/>
      <c r="Y4" s="3">
        <v>2</v>
      </c>
      <c r="Z4" s="3">
        <v>0</v>
      </c>
      <c r="AA4" s="1" t="s">
        <v>452</v>
      </c>
      <c r="AB4" s="1" t="s">
        <v>60</v>
      </c>
      <c r="AF4" s="3"/>
      <c r="AG4" s="3"/>
    </row>
    <row r="5" spans="1:36" s="1" customFormat="1" ht="26.1" customHeight="1">
      <c r="A5" s="15" t="s">
        <v>458</v>
      </c>
      <c r="B5" s="1" t="s">
        <v>459</v>
      </c>
      <c r="C5" s="3"/>
      <c r="D5" s="1" t="s">
        <v>460</v>
      </c>
      <c r="E5" s="1" t="s">
        <v>461</v>
      </c>
      <c r="F5" s="3">
        <v>347449</v>
      </c>
      <c r="G5" s="3">
        <v>731179</v>
      </c>
      <c r="H5" s="4">
        <v>5.7013176111611719E-2</v>
      </c>
      <c r="I5" s="2">
        <v>42627</v>
      </c>
      <c r="J5" s="1" t="s">
        <v>53</v>
      </c>
      <c r="K5" s="1" t="s">
        <v>54</v>
      </c>
      <c r="M5" s="1" t="s">
        <v>462</v>
      </c>
      <c r="N5" s="2">
        <v>42627</v>
      </c>
      <c r="O5" s="1" t="s">
        <v>56</v>
      </c>
      <c r="P5" s="2">
        <v>43122</v>
      </c>
      <c r="Q5" s="3">
        <v>1</v>
      </c>
      <c r="R5" s="3">
        <v>1</v>
      </c>
      <c r="S5" s="3">
        <v>0</v>
      </c>
      <c r="T5" s="3">
        <v>0</v>
      </c>
      <c r="U5" s="1" t="s">
        <v>57</v>
      </c>
      <c r="V5" s="1" t="s">
        <v>58</v>
      </c>
      <c r="W5" s="3">
        <v>1</v>
      </c>
      <c r="X5" s="3">
        <v>0</v>
      </c>
      <c r="Y5" s="3">
        <v>0</v>
      </c>
      <c r="Z5" s="3">
        <v>1</v>
      </c>
      <c r="AA5" s="1" t="s">
        <v>452</v>
      </c>
      <c r="AB5" s="1" t="s">
        <v>60</v>
      </c>
      <c r="AD5" s="1" t="s">
        <v>362</v>
      </c>
      <c r="AE5" s="1" t="s">
        <v>362</v>
      </c>
      <c r="AF5" s="3" t="s">
        <v>135</v>
      </c>
      <c r="AG5" s="3" t="s">
        <v>63</v>
      </c>
      <c r="AH5" s="1" t="s">
        <v>453</v>
      </c>
    </row>
    <row r="6" spans="1:36" s="1" customFormat="1" ht="29.1">
      <c r="A6" s="15" t="s">
        <v>463</v>
      </c>
      <c r="B6" s="1" t="s">
        <v>464</v>
      </c>
      <c r="C6" s="3"/>
      <c r="D6" s="1" t="s">
        <v>465</v>
      </c>
      <c r="E6" s="1" t="s">
        <v>466</v>
      </c>
      <c r="F6" s="3">
        <v>344419</v>
      </c>
      <c r="G6" s="3">
        <v>731195</v>
      </c>
      <c r="H6" s="4">
        <v>0.18299320938946431</v>
      </c>
      <c r="I6" s="2">
        <v>42712</v>
      </c>
      <c r="J6" s="1" t="s">
        <v>53</v>
      </c>
      <c r="K6" s="1" t="s">
        <v>54</v>
      </c>
      <c r="M6" s="1" t="s">
        <v>467</v>
      </c>
      <c r="N6" s="2">
        <v>44889</v>
      </c>
      <c r="O6" s="1" t="s">
        <v>91</v>
      </c>
      <c r="P6" s="2"/>
      <c r="Q6" s="3">
        <v>1</v>
      </c>
      <c r="R6" s="3">
        <v>1</v>
      </c>
      <c r="S6" s="3">
        <v>0</v>
      </c>
      <c r="T6" s="3">
        <v>0</v>
      </c>
      <c r="U6" s="1" t="s">
        <v>57</v>
      </c>
      <c r="V6" s="1" t="s">
        <v>58</v>
      </c>
      <c r="W6" s="3">
        <v>1</v>
      </c>
      <c r="X6" s="3">
        <v>0</v>
      </c>
      <c r="Y6" s="3">
        <v>0</v>
      </c>
      <c r="Z6" s="3">
        <v>1</v>
      </c>
      <c r="AA6" s="1" t="s">
        <v>452</v>
      </c>
      <c r="AB6" s="1" t="s">
        <v>60</v>
      </c>
      <c r="AD6" s="1" t="s">
        <v>362</v>
      </c>
      <c r="AE6" s="1" t="s">
        <v>362</v>
      </c>
      <c r="AF6" s="3" t="s">
        <v>135</v>
      </c>
      <c r="AG6" s="3" t="s">
        <v>63</v>
      </c>
      <c r="AH6" s="1" t="s">
        <v>453</v>
      </c>
    </row>
    <row r="7" spans="1:36" s="1" customFormat="1" ht="14.45">
      <c r="A7" s="15" t="s">
        <v>468</v>
      </c>
      <c r="B7" s="1" t="s">
        <v>459</v>
      </c>
      <c r="C7" s="3"/>
      <c r="D7" s="1" t="s">
        <v>469</v>
      </c>
      <c r="E7" s="1" t="s">
        <v>470</v>
      </c>
      <c r="F7" s="3">
        <v>347338</v>
      </c>
      <c r="G7" s="3">
        <v>731179</v>
      </c>
      <c r="H7" s="4">
        <v>0.1067463225484731</v>
      </c>
      <c r="I7" s="2">
        <v>42867</v>
      </c>
      <c r="J7" s="1" t="s">
        <v>53</v>
      </c>
      <c r="K7" s="1" t="s">
        <v>54</v>
      </c>
      <c r="M7" s="1" t="s">
        <v>471</v>
      </c>
      <c r="N7" s="2">
        <v>42867</v>
      </c>
      <c r="O7" s="1" t="s">
        <v>56</v>
      </c>
      <c r="P7" s="2">
        <v>44574</v>
      </c>
      <c r="Q7" s="3">
        <v>2</v>
      </c>
      <c r="R7" s="3">
        <v>2</v>
      </c>
      <c r="S7" s="3">
        <v>0</v>
      </c>
      <c r="T7" s="3">
        <v>0</v>
      </c>
      <c r="U7" s="1" t="s">
        <v>57</v>
      </c>
      <c r="V7" s="1" t="s">
        <v>58</v>
      </c>
      <c r="W7" s="3">
        <v>2</v>
      </c>
      <c r="X7" s="3">
        <v>0</v>
      </c>
      <c r="Y7" s="3">
        <v>0</v>
      </c>
      <c r="Z7" s="3">
        <v>2</v>
      </c>
      <c r="AA7" s="1" t="s">
        <v>452</v>
      </c>
      <c r="AB7" s="1" t="s">
        <v>60</v>
      </c>
      <c r="AD7" s="1" t="s">
        <v>362</v>
      </c>
      <c r="AE7" s="1" t="s">
        <v>362</v>
      </c>
      <c r="AF7" s="3" t="s">
        <v>135</v>
      </c>
      <c r="AG7" s="3" t="s">
        <v>63</v>
      </c>
      <c r="AH7" s="1" t="s">
        <v>63</v>
      </c>
    </row>
    <row r="8" spans="1:36" s="1" customFormat="1" ht="14.45">
      <c r="A8" s="15" t="s">
        <v>472</v>
      </c>
      <c r="B8" s="1" t="s">
        <v>473</v>
      </c>
      <c r="C8" s="3"/>
      <c r="D8" s="1" t="s">
        <v>474</v>
      </c>
      <c r="E8" s="1" t="s">
        <v>475</v>
      </c>
      <c r="F8" s="3">
        <v>341072</v>
      </c>
      <c r="G8" s="3">
        <v>730954</v>
      </c>
      <c r="H8" s="4">
        <v>3.8505836609149503E-2</v>
      </c>
      <c r="I8" s="2">
        <v>43054</v>
      </c>
      <c r="J8" s="1" t="s">
        <v>53</v>
      </c>
      <c r="K8" s="1" t="s">
        <v>54</v>
      </c>
      <c r="M8" s="1" t="s">
        <v>476</v>
      </c>
      <c r="N8" s="2">
        <v>43054</v>
      </c>
      <c r="O8" s="1" t="s">
        <v>56</v>
      </c>
      <c r="P8" s="2">
        <v>43486</v>
      </c>
      <c r="Q8" s="3">
        <v>3</v>
      </c>
      <c r="R8" s="3">
        <v>3</v>
      </c>
      <c r="S8" s="3">
        <v>0</v>
      </c>
      <c r="T8" s="3">
        <v>0</v>
      </c>
      <c r="U8" s="1" t="s">
        <v>57</v>
      </c>
      <c r="V8" s="1" t="s">
        <v>58</v>
      </c>
      <c r="W8" s="3">
        <v>3</v>
      </c>
      <c r="X8" s="3">
        <v>0</v>
      </c>
      <c r="Y8" s="3">
        <v>3</v>
      </c>
      <c r="Z8" s="3">
        <v>0</v>
      </c>
      <c r="AA8" s="1" t="s">
        <v>452</v>
      </c>
      <c r="AB8" s="1" t="s">
        <v>60</v>
      </c>
      <c r="AD8" s="1" t="s">
        <v>362</v>
      </c>
      <c r="AE8" s="1" t="s">
        <v>362</v>
      </c>
      <c r="AF8" s="3" t="s">
        <v>135</v>
      </c>
      <c r="AG8" s="3" t="s">
        <v>63</v>
      </c>
      <c r="AH8" s="1" t="s">
        <v>63</v>
      </c>
    </row>
    <row r="9" spans="1:36" s="1" customFormat="1" ht="29.1">
      <c r="A9" s="15" t="s">
        <v>477</v>
      </c>
      <c r="B9" s="1" t="s">
        <v>478</v>
      </c>
      <c r="C9" s="3"/>
      <c r="D9" s="1" t="s">
        <v>479</v>
      </c>
      <c r="E9" s="1" t="s">
        <v>480</v>
      </c>
      <c r="F9" s="3">
        <v>338252</v>
      </c>
      <c r="G9" s="3">
        <v>730123</v>
      </c>
      <c r="H9" s="4">
        <v>5.1985297933219182E-2</v>
      </c>
      <c r="I9" s="2">
        <v>43861</v>
      </c>
      <c r="J9" s="1" t="s">
        <v>53</v>
      </c>
      <c r="K9" s="1" t="s">
        <v>89</v>
      </c>
      <c r="M9" s="1" t="s">
        <v>481</v>
      </c>
      <c r="N9" s="2">
        <v>45198</v>
      </c>
      <c r="O9" s="1" t="s">
        <v>91</v>
      </c>
      <c r="P9" s="2"/>
      <c r="Q9" s="3">
        <v>1</v>
      </c>
      <c r="R9" s="3">
        <v>1</v>
      </c>
      <c r="S9" s="3">
        <v>0</v>
      </c>
      <c r="T9" s="3">
        <v>0</v>
      </c>
      <c r="U9" s="1" t="s">
        <v>57</v>
      </c>
      <c r="V9" s="1" t="s">
        <v>58</v>
      </c>
      <c r="W9" s="3">
        <v>1</v>
      </c>
      <c r="X9" s="3">
        <v>0</v>
      </c>
      <c r="Y9" s="3">
        <v>0</v>
      </c>
      <c r="Z9" s="3">
        <v>1</v>
      </c>
      <c r="AA9" s="1" t="s">
        <v>452</v>
      </c>
      <c r="AB9" s="1" t="s">
        <v>60</v>
      </c>
      <c r="AD9" s="1" t="s">
        <v>362</v>
      </c>
      <c r="AE9" s="1" t="s">
        <v>362</v>
      </c>
      <c r="AF9" s="3" t="s">
        <v>135</v>
      </c>
      <c r="AG9" s="3" t="s">
        <v>63</v>
      </c>
      <c r="AH9" s="1" t="s">
        <v>453</v>
      </c>
    </row>
    <row r="10" spans="1:36" s="1" customFormat="1" ht="29.1">
      <c r="A10" s="15" t="s">
        <v>482</v>
      </c>
      <c r="B10" s="1" t="s">
        <v>483</v>
      </c>
      <c r="C10" s="3"/>
      <c r="D10" s="1" t="s">
        <v>484</v>
      </c>
      <c r="E10" s="1" t="s">
        <v>485</v>
      </c>
      <c r="F10" s="3">
        <v>346866</v>
      </c>
      <c r="G10" s="3">
        <v>731047</v>
      </c>
      <c r="H10" s="4">
        <v>2.131091963544985E-2</v>
      </c>
      <c r="I10" s="2">
        <v>43977</v>
      </c>
      <c r="J10" s="1" t="s">
        <v>53</v>
      </c>
      <c r="K10" s="1" t="s">
        <v>54</v>
      </c>
      <c r="M10" s="1" t="s">
        <v>486</v>
      </c>
      <c r="N10" s="2">
        <v>43977</v>
      </c>
      <c r="O10" s="1" t="s">
        <v>56</v>
      </c>
      <c r="P10" s="2">
        <v>44480</v>
      </c>
      <c r="Q10" s="3">
        <v>1</v>
      </c>
      <c r="R10" s="3">
        <v>1</v>
      </c>
      <c r="S10" s="3">
        <v>0</v>
      </c>
      <c r="T10" s="3">
        <v>0</v>
      </c>
      <c r="U10" s="1" t="s">
        <v>57</v>
      </c>
      <c r="V10" s="1" t="s">
        <v>58</v>
      </c>
      <c r="W10" s="3">
        <v>1</v>
      </c>
      <c r="X10" s="3">
        <v>0</v>
      </c>
      <c r="Y10" s="3">
        <v>0</v>
      </c>
      <c r="Z10" s="3">
        <v>1</v>
      </c>
      <c r="AA10" s="1" t="s">
        <v>452</v>
      </c>
      <c r="AB10" s="1" t="s">
        <v>60</v>
      </c>
      <c r="AD10" s="1" t="s">
        <v>362</v>
      </c>
      <c r="AE10" s="1" t="s">
        <v>362</v>
      </c>
      <c r="AF10" s="3" t="s">
        <v>135</v>
      </c>
      <c r="AG10" s="3" t="s">
        <v>63</v>
      </c>
      <c r="AH10" s="1" t="s">
        <v>453</v>
      </c>
    </row>
    <row r="11" spans="1:36" s="1" customFormat="1" ht="29.1">
      <c r="A11" s="15" t="s">
        <v>487</v>
      </c>
      <c r="B11" s="1" t="s">
        <v>78</v>
      </c>
      <c r="C11" s="3"/>
      <c r="D11" s="1" t="s">
        <v>488</v>
      </c>
      <c r="E11" s="1" t="s">
        <v>489</v>
      </c>
      <c r="F11" s="3">
        <v>345088</v>
      </c>
      <c r="G11" s="3">
        <v>733487</v>
      </c>
      <c r="H11" s="4">
        <v>0.2112308534504046</v>
      </c>
      <c r="I11" s="2">
        <v>44043</v>
      </c>
      <c r="J11" s="1" t="s">
        <v>53</v>
      </c>
      <c r="K11" s="1" t="s">
        <v>54</v>
      </c>
      <c r="M11" s="1" t="s">
        <v>490</v>
      </c>
      <c r="N11" s="2">
        <v>45140</v>
      </c>
      <c r="O11" s="1" t="s">
        <v>56</v>
      </c>
      <c r="P11" s="2">
        <v>45152</v>
      </c>
      <c r="Q11" s="3">
        <v>2</v>
      </c>
      <c r="R11" s="3">
        <v>2</v>
      </c>
      <c r="S11" s="3">
        <v>0</v>
      </c>
      <c r="T11" s="3">
        <v>0</v>
      </c>
      <c r="U11" s="1" t="s">
        <v>57</v>
      </c>
      <c r="V11" s="1" t="s">
        <v>58</v>
      </c>
      <c r="W11" s="3">
        <v>2</v>
      </c>
      <c r="X11" s="3">
        <v>0</v>
      </c>
      <c r="Y11" s="3">
        <v>0</v>
      </c>
      <c r="Z11" s="3">
        <v>2</v>
      </c>
      <c r="AA11" s="1" t="s">
        <v>452</v>
      </c>
      <c r="AB11" s="1" t="s">
        <v>60</v>
      </c>
      <c r="AD11" s="1" t="s">
        <v>491</v>
      </c>
      <c r="AE11" s="1" t="s">
        <v>491</v>
      </c>
      <c r="AF11" s="3" t="s">
        <v>135</v>
      </c>
      <c r="AG11" s="3" t="s">
        <v>63</v>
      </c>
      <c r="AH11" s="1" t="s">
        <v>63</v>
      </c>
    </row>
    <row r="12" spans="1:36" s="1" customFormat="1" ht="14.45">
      <c r="A12" s="15" t="s">
        <v>492</v>
      </c>
      <c r="B12" s="1" t="s">
        <v>493</v>
      </c>
      <c r="C12" s="3"/>
      <c r="D12" s="1" t="s">
        <v>494</v>
      </c>
      <c r="E12" s="1" t="s">
        <v>495</v>
      </c>
      <c r="F12" s="3">
        <v>338543</v>
      </c>
      <c r="G12" s="3">
        <v>734031</v>
      </c>
      <c r="H12" s="4">
        <v>2.590644776603377E-2</v>
      </c>
      <c r="I12" s="2">
        <v>44043</v>
      </c>
      <c r="J12" s="1" t="s">
        <v>53</v>
      </c>
      <c r="K12" s="1" t="s">
        <v>54</v>
      </c>
      <c r="M12" s="1" t="s">
        <v>496</v>
      </c>
      <c r="N12" s="2">
        <v>45198</v>
      </c>
      <c r="O12" s="1" t="s">
        <v>91</v>
      </c>
      <c r="P12" s="2"/>
      <c r="Q12" s="3">
        <v>1</v>
      </c>
      <c r="R12" s="3">
        <v>1</v>
      </c>
      <c r="S12" s="3">
        <v>0</v>
      </c>
      <c r="T12" s="3">
        <v>0</v>
      </c>
      <c r="U12" s="1" t="s">
        <v>57</v>
      </c>
      <c r="V12" s="1" t="s">
        <v>58</v>
      </c>
      <c r="W12" s="3">
        <v>1</v>
      </c>
      <c r="X12" s="3">
        <v>0</v>
      </c>
      <c r="Y12" s="3">
        <v>0</v>
      </c>
      <c r="Z12" s="3">
        <v>1</v>
      </c>
      <c r="AA12" s="1" t="s">
        <v>452</v>
      </c>
      <c r="AB12" s="1" t="s">
        <v>60</v>
      </c>
      <c r="AD12" s="1" t="s">
        <v>362</v>
      </c>
      <c r="AE12" s="1" t="s">
        <v>362</v>
      </c>
      <c r="AF12" s="3" t="s">
        <v>135</v>
      </c>
      <c r="AG12" s="3" t="s">
        <v>63</v>
      </c>
      <c r="AH12" s="1" t="s">
        <v>453</v>
      </c>
    </row>
    <row r="13" spans="1:36" s="1" customFormat="1" ht="14.45">
      <c r="A13" s="15" t="s">
        <v>497</v>
      </c>
      <c r="B13" s="1" t="s">
        <v>498</v>
      </c>
      <c r="C13" s="3"/>
      <c r="D13" s="1" t="s">
        <v>499</v>
      </c>
      <c r="E13" s="1" t="s">
        <v>500</v>
      </c>
      <c r="F13" s="3">
        <v>339508</v>
      </c>
      <c r="G13" s="3">
        <v>731113</v>
      </c>
      <c r="H13" s="4">
        <v>4.983262569047623E-2</v>
      </c>
      <c r="I13" s="2">
        <v>44078</v>
      </c>
      <c r="J13" s="1" t="s">
        <v>53</v>
      </c>
      <c r="K13" s="1" t="s">
        <v>54</v>
      </c>
      <c r="M13" s="1" t="s">
        <v>501</v>
      </c>
      <c r="N13" s="2">
        <v>45166</v>
      </c>
      <c r="O13" s="1" t="s">
        <v>91</v>
      </c>
      <c r="P13" s="2"/>
      <c r="Q13" s="3">
        <v>1</v>
      </c>
      <c r="R13" s="3">
        <v>1</v>
      </c>
      <c r="S13" s="3">
        <v>0</v>
      </c>
      <c r="T13" s="3">
        <v>0</v>
      </c>
      <c r="U13" s="1" t="s">
        <v>57</v>
      </c>
      <c r="V13" s="1" t="s">
        <v>58</v>
      </c>
      <c r="W13" s="3">
        <v>1</v>
      </c>
      <c r="X13" s="3">
        <v>0</v>
      </c>
      <c r="Y13" s="3">
        <v>0</v>
      </c>
      <c r="Z13" s="3">
        <v>1</v>
      </c>
      <c r="AA13" s="1" t="s">
        <v>452</v>
      </c>
      <c r="AB13" s="1" t="s">
        <v>60</v>
      </c>
      <c r="AD13" s="1" t="s">
        <v>362</v>
      </c>
      <c r="AE13" s="1" t="s">
        <v>362</v>
      </c>
      <c r="AF13" s="3" t="s">
        <v>135</v>
      </c>
      <c r="AG13" s="3" t="s">
        <v>63</v>
      </c>
      <c r="AH13" s="1" t="s">
        <v>453</v>
      </c>
    </row>
    <row r="14" spans="1:36" s="1" customFormat="1" ht="29.1">
      <c r="A14" s="15" t="s">
        <v>502</v>
      </c>
      <c r="B14" s="1" t="s">
        <v>503</v>
      </c>
      <c r="C14" s="3"/>
      <c r="D14" s="1" t="s">
        <v>504</v>
      </c>
      <c r="E14" s="1" t="s">
        <v>505</v>
      </c>
      <c r="F14" s="3">
        <v>344782</v>
      </c>
      <c r="G14" s="3">
        <v>731333</v>
      </c>
      <c r="H14" s="4">
        <v>0.13039115152335479</v>
      </c>
      <c r="I14" s="2">
        <v>44106</v>
      </c>
      <c r="J14" s="1" t="s">
        <v>53</v>
      </c>
      <c r="K14" s="1" t="s">
        <v>89</v>
      </c>
      <c r="M14" s="1" t="s">
        <v>506</v>
      </c>
      <c r="N14" s="2">
        <v>45324</v>
      </c>
      <c r="O14" s="1" t="s">
        <v>91</v>
      </c>
      <c r="P14" s="2"/>
      <c r="Q14" s="3">
        <v>1</v>
      </c>
      <c r="R14" s="3">
        <v>1</v>
      </c>
      <c r="S14" s="3">
        <v>0</v>
      </c>
      <c r="T14" s="3">
        <v>0</v>
      </c>
      <c r="U14" s="1" t="s">
        <v>57</v>
      </c>
      <c r="V14" s="1" t="s">
        <v>58</v>
      </c>
      <c r="W14" s="3">
        <v>1</v>
      </c>
      <c r="X14" s="3">
        <v>0</v>
      </c>
      <c r="Y14" s="3">
        <v>0</v>
      </c>
      <c r="Z14" s="3">
        <v>1</v>
      </c>
      <c r="AA14" s="1" t="s">
        <v>452</v>
      </c>
      <c r="AB14" s="1" t="s">
        <v>60</v>
      </c>
      <c r="AD14" s="1" t="s">
        <v>362</v>
      </c>
      <c r="AE14" s="1" t="s">
        <v>362</v>
      </c>
      <c r="AF14" s="3" t="s">
        <v>135</v>
      </c>
      <c r="AG14" s="3" t="s">
        <v>63</v>
      </c>
      <c r="AH14" s="1" t="s">
        <v>453</v>
      </c>
    </row>
    <row r="15" spans="1:36" s="1" customFormat="1" ht="14.45">
      <c r="A15" s="15" t="s">
        <v>507</v>
      </c>
      <c r="B15" s="1" t="s">
        <v>508</v>
      </c>
      <c r="C15" s="3"/>
      <c r="D15" s="1" t="s">
        <v>509</v>
      </c>
      <c r="E15" s="1" t="s">
        <v>510</v>
      </c>
      <c r="F15" s="3">
        <v>341571</v>
      </c>
      <c r="G15" s="3">
        <v>731090</v>
      </c>
      <c r="H15" s="4">
        <v>4.7011425861161728E-2</v>
      </c>
      <c r="I15" s="2">
        <v>44145</v>
      </c>
      <c r="J15" s="1" t="s">
        <v>53</v>
      </c>
      <c r="K15" s="1" t="s">
        <v>54</v>
      </c>
      <c r="M15" s="1" t="s">
        <v>511</v>
      </c>
      <c r="N15" s="2">
        <v>44145</v>
      </c>
      <c r="O15" s="1" t="s">
        <v>56</v>
      </c>
      <c r="P15" s="2">
        <v>44197</v>
      </c>
      <c r="Q15" s="3">
        <v>1</v>
      </c>
      <c r="R15" s="3">
        <v>1</v>
      </c>
      <c r="S15" s="3">
        <v>0</v>
      </c>
      <c r="T15" s="3">
        <v>0</v>
      </c>
      <c r="U15" s="1" t="s">
        <v>57</v>
      </c>
      <c r="V15" s="1" t="s">
        <v>58</v>
      </c>
      <c r="W15" s="3">
        <v>1</v>
      </c>
      <c r="X15" s="3">
        <v>0</v>
      </c>
      <c r="Y15" s="3">
        <v>0</v>
      </c>
      <c r="Z15" s="3">
        <v>1</v>
      </c>
      <c r="AA15" s="1" t="s">
        <v>452</v>
      </c>
      <c r="AB15" s="1" t="s">
        <v>60</v>
      </c>
      <c r="AD15" s="1" t="s">
        <v>362</v>
      </c>
      <c r="AE15" s="1" t="s">
        <v>362</v>
      </c>
      <c r="AF15" s="3" t="s">
        <v>135</v>
      </c>
      <c r="AG15" s="3" t="s">
        <v>63</v>
      </c>
      <c r="AH15" s="1" t="s">
        <v>453</v>
      </c>
    </row>
    <row r="16" spans="1:36" s="1" customFormat="1" ht="29.1">
      <c r="A16" s="15" t="s">
        <v>512</v>
      </c>
      <c r="B16" s="1" t="s">
        <v>513</v>
      </c>
      <c r="C16" s="3"/>
      <c r="D16" s="1" t="s">
        <v>514</v>
      </c>
      <c r="E16" s="1" t="s">
        <v>515</v>
      </c>
      <c r="F16" s="3">
        <v>339435</v>
      </c>
      <c r="G16" s="3">
        <v>730892</v>
      </c>
      <c r="H16" s="4">
        <v>0.13096951666395401</v>
      </c>
      <c r="I16" s="2">
        <v>44147</v>
      </c>
      <c r="J16" s="1" t="s">
        <v>53</v>
      </c>
      <c r="K16" s="1" t="s">
        <v>54</v>
      </c>
      <c r="M16" s="1" t="s">
        <v>516</v>
      </c>
      <c r="N16" s="2">
        <v>44147</v>
      </c>
      <c r="O16" s="1" t="s">
        <v>56</v>
      </c>
      <c r="P16" s="2">
        <v>44325</v>
      </c>
      <c r="Q16" s="3">
        <v>1</v>
      </c>
      <c r="R16" s="3">
        <v>1</v>
      </c>
      <c r="S16" s="3">
        <v>0</v>
      </c>
      <c r="T16" s="3">
        <v>0</v>
      </c>
      <c r="U16" s="1" t="s">
        <v>57</v>
      </c>
      <c r="V16" s="1" t="s">
        <v>58</v>
      </c>
      <c r="W16" s="3">
        <v>1</v>
      </c>
      <c r="X16" s="3">
        <v>0</v>
      </c>
      <c r="Y16" s="3">
        <v>0</v>
      </c>
      <c r="Z16" s="3">
        <v>1</v>
      </c>
      <c r="AA16" s="1" t="s">
        <v>452</v>
      </c>
      <c r="AB16" s="1" t="s">
        <v>60</v>
      </c>
      <c r="AD16" s="1" t="s">
        <v>362</v>
      </c>
      <c r="AE16" s="1" t="s">
        <v>362</v>
      </c>
      <c r="AF16" s="3" t="s">
        <v>135</v>
      </c>
      <c r="AG16" s="3" t="s">
        <v>63</v>
      </c>
      <c r="AH16" s="1" t="s">
        <v>453</v>
      </c>
    </row>
    <row r="17" spans="1:36" s="1" customFormat="1" ht="29.1">
      <c r="A17" s="15" t="s">
        <v>517</v>
      </c>
      <c r="B17" s="1" t="s">
        <v>518</v>
      </c>
      <c r="C17" s="3"/>
      <c r="D17" s="1" t="s">
        <v>519</v>
      </c>
      <c r="E17" s="1" t="s">
        <v>520</v>
      </c>
      <c r="F17" s="3">
        <v>340214</v>
      </c>
      <c r="G17" s="3">
        <v>730670</v>
      </c>
      <c r="H17" s="4">
        <v>1.0618356674970729E-2</v>
      </c>
      <c r="I17" s="2">
        <v>44161</v>
      </c>
      <c r="J17" s="1" t="s">
        <v>53</v>
      </c>
      <c r="K17" s="1" t="s">
        <v>54</v>
      </c>
      <c r="M17" s="1" t="s">
        <v>521</v>
      </c>
      <c r="N17" s="2">
        <v>44161</v>
      </c>
      <c r="O17" s="1" t="s">
        <v>56</v>
      </c>
      <c r="P17" s="2">
        <v>44543</v>
      </c>
      <c r="Q17" s="3">
        <v>1</v>
      </c>
      <c r="R17" s="3">
        <v>1</v>
      </c>
      <c r="S17" s="3">
        <v>0</v>
      </c>
      <c r="T17" s="3">
        <v>0</v>
      </c>
      <c r="U17" s="1" t="s">
        <v>57</v>
      </c>
      <c r="V17" s="1" t="s">
        <v>58</v>
      </c>
      <c r="W17" s="3">
        <v>1</v>
      </c>
      <c r="X17" s="3">
        <v>0</v>
      </c>
      <c r="Y17" s="3">
        <v>1</v>
      </c>
      <c r="Z17" s="3">
        <v>0</v>
      </c>
      <c r="AA17" s="1" t="s">
        <v>452</v>
      </c>
      <c r="AB17" s="1" t="s">
        <v>60</v>
      </c>
      <c r="AD17" s="1" t="s">
        <v>522</v>
      </c>
      <c r="AE17" s="1" t="s">
        <v>522</v>
      </c>
      <c r="AF17" s="3" t="s">
        <v>135</v>
      </c>
      <c r="AG17" s="3" t="s">
        <v>63</v>
      </c>
      <c r="AH17" s="1" t="s">
        <v>453</v>
      </c>
    </row>
    <row r="18" spans="1:36" s="1" customFormat="1" ht="29.1">
      <c r="A18" s="15" t="s">
        <v>523</v>
      </c>
      <c r="B18" s="1" t="s">
        <v>524</v>
      </c>
      <c r="C18" s="3"/>
      <c r="D18" s="1" t="s">
        <v>525</v>
      </c>
      <c r="E18" s="1" t="s">
        <v>526</v>
      </c>
      <c r="F18" s="3">
        <v>340421</v>
      </c>
      <c r="G18" s="3">
        <v>730459</v>
      </c>
      <c r="H18" s="4">
        <v>1.812504791232018E-2</v>
      </c>
      <c r="I18" s="2">
        <v>44176</v>
      </c>
      <c r="J18" s="1" t="s">
        <v>53</v>
      </c>
      <c r="K18" s="1" t="s">
        <v>54</v>
      </c>
      <c r="M18" s="1" t="s">
        <v>527</v>
      </c>
      <c r="N18" s="2">
        <v>44176</v>
      </c>
      <c r="O18" s="1" t="s">
        <v>56</v>
      </c>
      <c r="P18" s="2">
        <v>44708</v>
      </c>
      <c r="Q18" s="3">
        <v>3</v>
      </c>
      <c r="R18" s="3">
        <v>3</v>
      </c>
      <c r="S18" s="3">
        <v>0</v>
      </c>
      <c r="T18" s="3">
        <v>0</v>
      </c>
      <c r="U18" s="1" t="s">
        <v>57</v>
      </c>
      <c r="V18" s="1" t="s">
        <v>58</v>
      </c>
      <c r="W18" s="3">
        <v>3</v>
      </c>
      <c r="X18" s="3">
        <v>0</v>
      </c>
      <c r="Y18" s="3">
        <v>3</v>
      </c>
      <c r="Z18" s="3">
        <v>0</v>
      </c>
      <c r="AA18" s="1" t="s">
        <v>452</v>
      </c>
      <c r="AB18" s="1" t="s">
        <v>60</v>
      </c>
      <c r="AD18" s="1" t="s">
        <v>528</v>
      </c>
      <c r="AE18" s="1" t="s">
        <v>528</v>
      </c>
      <c r="AF18" s="3" t="s">
        <v>135</v>
      </c>
      <c r="AG18" s="3" t="s">
        <v>63</v>
      </c>
      <c r="AH18" s="1" t="s">
        <v>63</v>
      </c>
    </row>
    <row r="19" spans="1:36" s="1" customFormat="1" ht="14.45">
      <c r="A19" s="15" t="s">
        <v>529</v>
      </c>
      <c r="B19" s="1" t="s">
        <v>530</v>
      </c>
      <c r="C19" s="3"/>
      <c r="D19" s="1" t="s">
        <v>531</v>
      </c>
      <c r="E19" s="1" t="s">
        <v>532</v>
      </c>
      <c r="F19" s="3">
        <v>346017</v>
      </c>
      <c r="G19" s="3">
        <v>730834</v>
      </c>
      <c r="H19" s="4">
        <v>1.289179550289986E-2</v>
      </c>
      <c r="I19" s="2">
        <v>44141</v>
      </c>
      <c r="J19" s="1" t="s">
        <v>53</v>
      </c>
      <c r="K19" s="1" t="s">
        <v>54</v>
      </c>
      <c r="M19" s="1" t="s">
        <v>533</v>
      </c>
      <c r="N19" s="2">
        <v>44883</v>
      </c>
      <c r="O19" s="1" t="s">
        <v>56</v>
      </c>
      <c r="P19" s="2">
        <v>45705</v>
      </c>
      <c r="Q19" s="3">
        <v>2</v>
      </c>
      <c r="R19" s="3">
        <v>2</v>
      </c>
      <c r="S19" s="3">
        <v>0</v>
      </c>
      <c r="T19" s="3">
        <v>0</v>
      </c>
      <c r="U19" s="1" t="s">
        <v>57</v>
      </c>
      <c r="V19" s="1" t="s">
        <v>58</v>
      </c>
      <c r="W19" s="3">
        <v>2</v>
      </c>
      <c r="X19" s="3">
        <v>0</v>
      </c>
      <c r="Y19" s="3">
        <v>2</v>
      </c>
      <c r="Z19" s="3">
        <v>0</v>
      </c>
      <c r="AA19" s="1" t="s">
        <v>452</v>
      </c>
      <c r="AB19" s="1" t="s">
        <v>60</v>
      </c>
      <c r="AD19" s="1" t="s">
        <v>362</v>
      </c>
      <c r="AE19" s="1" t="s">
        <v>362</v>
      </c>
      <c r="AF19" s="3" t="s">
        <v>135</v>
      </c>
      <c r="AG19" s="3" t="s">
        <v>63</v>
      </c>
      <c r="AH19" s="1" t="s">
        <v>63</v>
      </c>
    </row>
    <row r="20" spans="1:36" s="1" customFormat="1" ht="14.45">
      <c r="A20" s="15" t="s">
        <v>534</v>
      </c>
      <c r="B20" s="1" t="s">
        <v>535</v>
      </c>
      <c r="C20" s="3"/>
      <c r="D20" s="1" t="s">
        <v>536</v>
      </c>
      <c r="E20" s="1" t="s">
        <v>537</v>
      </c>
      <c r="F20" s="3">
        <v>338778</v>
      </c>
      <c r="G20" s="3">
        <v>733449</v>
      </c>
      <c r="H20" s="4">
        <v>7.2434696385786451E-2</v>
      </c>
      <c r="I20" s="2">
        <v>44409</v>
      </c>
      <c r="J20" s="1" t="s">
        <v>53</v>
      </c>
      <c r="K20" s="1" t="s">
        <v>54</v>
      </c>
      <c r="M20" s="1" t="s">
        <v>538</v>
      </c>
      <c r="N20" s="2">
        <v>44965</v>
      </c>
      <c r="O20" s="1" t="s">
        <v>56</v>
      </c>
      <c r="P20" s="2">
        <v>45496</v>
      </c>
      <c r="Q20" s="3">
        <v>1</v>
      </c>
      <c r="R20" s="3">
        <v>1</v>
      </c>
      <c r="S20" s="3">
        <v>0</v>
      </c>
      <c r="T20" s="3">
        <v>0</v>
      </c>
      <c r="U20" s="1" t="s">
        <v>57</v>
      </c>
      <c r="V20" s="1" t="s">
        <v>58</v>
      </c>
      <c r="W20" s="3">
        <v>1</v>
      </c>
      <c r="X20" s="3">
        <v>0</v>
      </c>
      <c r="Y20" s="3">
        <v>0</v>
      </c>
      <c r="Z20" s="3">
        <v>1</v>
      </c>
      <c r="AA20" s="1" t="s">
        <v>452</v>
      </c>
      <c r="AB20" s="1" t="s">
        <v>60</v>
      </c>
      <c r="AD20" s="1" t="s">
        <v>362</v>
      </c>
      <c r="AE20" s="1" t="s">
        <v>362</v>
      </c>
      <c r="AF20" s="3" t="s">
        <v>135</v>
      </c>
      <c r="AG20" s="3" t="s">
        <v>63</v>
      </c>
      <c r="AH20" s="1" t="s">
        <v>453</v>
      </c>
    </row>
    <row r="21" spans="1:36" s="1" customFormat="1" ht="14.45">
      <c r="A21" s="15" t="s">
        <v>539</v>
      </c>
      <c r="B21" s="1" t="s">
        <v>540</v>
      </c>
      <c r="C21" s="3"/>
      <c r="D21" s="1" t="s">
        <v>541</v>
      </c>
      <c r="E21" s="1" t="s">
        <v>542</v>
      </c>
      <c r="F21" s="3">
        <v>345677</v>
      </c>
      <c r="G21" s="3">
        <v>731472</v>
      </c>
      <c r="H21" s="4">
        <v>0.1146439413270748</v>
      </c>
      <c r="I21" s="2">
        <v>44409</v>
      </c>
      <c r="J21" s="1" t="s">
        <v>53</v>
      </c>
      <c r="K21" s="1" t="s">
        <v>54</v>
      </c>
      <c r="M21" s="1" t="s">
        <v>543</v>
      </c>
      <c r="N21" s="2">
        <v>44428</v>
      </c>
      <c r="O21" s="1" t="s">
        <v>56</v>
      </c>
      <c r="P21" s="2">
        <v>45520</v>
      </c>
      <c r="Q21" s="3">
        <v>1</v>
      </c>
      <c r="R21" s="3">
        <v>1</v>
      </c>
      <c r="S21" s="3">
        <v>0</v>
      </c>
      <c r="T21" s="3">
        <v>0</v>
      </c>
      <c r="U21" s="1" t="s">
        <v>57</v>
      </c>
      <c r="V21" s="1" t="s">
        <v>58</v>
      </c>
      <c r="W21" s="3">
        <v>1</v>
      </c>
      <c r="X21" s="3">
        <v>0</v>
      </c>
      <c r="Y21" s="3">
        <v>0</v>
      </c>
      <c r="Z21" s="3">
        <v>1</v>
      </c>
      <c r="AA21" s="1" t="s">
        <v>452</v>
      </c>
      <c r="AB21" s="1" t="s">
        <v>60</v>
      </c>
      <c r="AD21" s="1" t="s">
        <v>362</v>
      </c>
      <c r="AE21" s="1" t="s">
        <v>362</v>
      </c>
      <c r="AF21" s="3" t="s">
        <v>135</v>
      </c>
      <c r="AG21" s="3" t="s">
        <v>63</v>
      </c>
      <c r="AH21" s="1" t="s">
        <v>453</v>
      </c>
      <c r="AJ21" s="1" t="s">
        <v>543</v>
      </c>
    </row>
    <row r="22" spans="1:36" s="1" customFormat="1" ht="29.1">
      <c r="A22" s="15" t="s">
        <v>544</v>
      </c>
      <c r="B22" s="1" t="s">
        <v>545</v>
      </c>
      <c r="C22" s="3"/>
      <c r="D22" s="1" t="s">
        <v>546</v>
      </c>
      <c r="E22" s="1" t="s">
        <v>547</v>
      </c>
      <c r="F22" s="3">
        <v>341342</v>
      </c>
      <c r="G22" s="3">
        <v>732274</v>
      </c>
      <c r="H22" s="4">
        <v>3.9653156099843587E-2</v>
      </c>
      <c r="I22" s="2">
        <v>44382</v>
      </c>
      <c r="K22" s="1" t="s">
        <v>54</v>
      </c>
      <c r="M22" s="1" t="s">
        <v>548</v>
      </c>
      <c r="N22" s="2">
        <v>44382</v>
      </c>
      <c r="O22" s="1" t="s">
        <v>56</v>
      </c>
      <c r="P22" s="2">
        <v>45357</v>
      </c>
      <c r="Q22" s="3">
        <v>1</v>
      </c>
      <c r="R22" s="3">
        <v>1</v>
      </c>
      <c r="S22" s="3">
        <v>0</v>
      </c>
      <c r="T22" s="3">
        <v>0</v>
      </c>
      <c r="W22" s="3"/>
      <c r="X22" s="3"/>
      <c r="Y22" s="3">
        <v>0</v>
      </c>
      <c r="Z22" s="3">
        <v>1</v>
      </c>
      <c r="AA22" s="1" t="s">
        <v>452</v>
      </c>
      <c r="AB22" s="1" t="s">
        <v>60</v>
      </c>
      <c r="AD22" s="1" t="s">
        <v>362</v>
      </c>
      <c r="AE22" s="1" t="s">
        <v>362</v>
      </c>
      <c r="AF22" s="3" t="s">
        <v>135</v>
      </c>
      <c r="AG22" s="3" t="s">
        <v>63</v>
      </c>
      <c r="AH22" s="1" t="s">
        <v>453</v>
      </c>
    </row>
    <row r="23" spans="1:36" s="1" customFormat="1" ht="14.45">
      <c r="A23" s="15" t="s">
        <v>549</v>
      </c>
      <c r="B23" s="1" t="s">
        <v>550</v>
      </c>
      <c r="C23" s="3"/>
      <c r="D23" s="1" t="s">
        <v>551</v>
      </c>
      <c r="E23" s="1" t="s">
        <v>552</v>
      </c>
      <c r="F23" s="3">
        <v>346229</v>
      </c>
      <c r="G23" s="3">
        <v>731308</v>
      </c>
      <c r="H23" s="4">
        <v>4.1527113071049372E-2</v>
      </c>
      <c r="I23" s="2">
        <v>44636</v>
      </c>
      <c r="J23" s="1" t="s">
        <v>53</v>
      </c>
      <c r="K23" s="1" t="s">
        <v>89</v>
      </c>
      <c r="M23" s="1" t="s">
        <v>553</v>
      </c>
      <c r="N23" s="2">
        <v>44636</v>
      </c>
      <c r="O23" s="1" t="s">
        <v>91</v>
      </c>
      <c r="P23" s="2"/>
      <c r="Q23" s="3">
        <v>1</v>
      </c>
      <c r="R23" s="3">
        <v>1</v>
      </c>
      <c r="S23" s="3">
        <v>0</v>
      </c>
      <c r="T23" s="3">
        <v>0</v>
      </c>
      <c r="U23" s="1" t="s">
        <v>57</v>
      </c>
      <c r="V23" s="1" t="s">
        <v>58</v>
      </c>
      <c r="W23" s="3">
        <v>1</v>
      </c>
      <c r="X23" s="3">
        <v>0</v>
      </c>
      <c r="Y23" s="3">
        <v>0</v>
      </c>
      <c r="Z23" s="3">
        <v>1</v>
      </c>
      <c r="AA23" s="1" t="s">
        <v>452</v>
      </c>
      <c r="AB23" s="1" t="s">
        <v>60</v>
      </c>
      <c r="AD23" s="1" t="s">
        <v>362</v>
      </c>
      <c r="AE23" s="1" t="s">
        <v>362</v>
      </c>
      <c r="AF23" s="3" t="s">
        <v>135</v>
      </c>
      <c r="AG23" s="3" t="s">
        <v>63</v>
      </c>
      <c r="AH23" s="1" t="s">
        <v>453</v>
      </c>
    </row>
    <row r="24" spans="1:36" s="1" customFormat="1" ht="14.45">
      <c r="A24" s="15" t="s">
        <v>554</v>
      </c>
      <c r="B24" s="1" t="s">
        <v>555</v>
      </c>
      <c r="C24" s="3"/>
      <c r="D24" s="1" t="s">
        <v>556</v>
      </c>
      <c r="E24" s="1" t="s">
        <v>557</v>
      </c>
      <c r="F24" s="3">
        <v>345024</v>
      </c>
      <c r="G24" s="3">
        <v>731414</v>
      </c>
      <c r="H24" s="4">
        <v>0.10891545233763759</v>
      </c>
      <c r="I24" s="2">
        <v>44796</v>
      </c>
      <c r="J24" s="1" t="s">
        <v>53</v>
      </c>
      <c r="K24" s="1" t="s">
        <v>54</v>
      </c>
      <c r="M24" s="1" t="s">
        <v>558</v>
      </c>
      <c r="N24" s="2">
        <v>44796</v>
      </c>
      <c r="O24" s="1" t="s">
        <v>56</v>
      </c>
      <c r="P24" s="2">
        <v>45265</v>
      </c>
      <c r="Q24" s="3">
        <v>1</v>
      </c>
      <c r="R24" s="3">
        <v>1</v>
      </c>
      <c r="S24" s="3">
        <v>0</v>
      </c>
      <c r="T24" s="3">
        <v>0</v>
      </c>
      <c r="U24" s="1" t="s">
        <v>57</v>
      </c>
      <c r="V24" s="1" t="s">
        <v>58</v>
      </c>
      <c r="W24" s="3">
        <v>1</v>
      </c>
      <c r="X24" s="3">
        <v>0</v>
      </c>
      <c r="Y24" s="3">
        <v>0</v>
      </c>
      <c r="Z24" s="3">
        <v>1</v>
      </c>
      <c r="AA24" s="1" t="s">
        <v>452</v>
      </c>
      <c r="AB24" s="1" t="s">
        <v>60</v>
      </c>
      <c r="AD24" s="1" t="s">
        <v>362</v>
      </c>
      <c r="AE24" s="1" t="s">
        <v>362</v>
      </c>
      <c r="AF24" s="3" t="s">
        <v>135</v>
      </c>
      <c r="AG24" s="3" t="s">
        <v>63</v>
      </c>
      <c r="AH24" s="1" t="s">
        <v>453</v>
      </c>
    </row>
    <row r="25" spans="1:36" s="1" customFormat="1" ht="29.1">
      <c r="A25" s="15" t="s">
        <v>559</v>
      </c>
      <c r="B25" s="1" t="s">
        <v>560</v>
      </c>
      <c r="C25" s="3"/>
      <c r="D25" s="1" t="s">
        <v>561</v>
      </c>
      <c r="E25" s="1" t="s">
        <v>562</v>
      </c>
      <c r="F25" s="3">
        <v>346894</v>
      </c>
      <c r="G25" s="3">
        <v>731323</v>
      </c>
      <c r="H25" s="4">
        <v>0.17793502999799821</v>
      </c>
      <c r="I25" s="2">
        <v>44875</v>
      </c>
      <c r="J25" s="1" t="s">
        <v>53</v>
      </c>
      <c r="K25" s="1" t="s">
        <v>54</v>
      </c>
      <c r="M25" s="1" t="s">
        <v>563</v>
      </c>
      <c r="N25" s="2">
        <v>46009</v>
      </c>
      <c r="O25" s="1" t="s">
        <v>91</v>
      </c>
      <c r="P25" s="2"/>
      <c r="Q25" s="3">
        <v>1</v>
      </c>
      <c r="R25" s="3">
        <v>1</v>
      </c>
      <c r="S25" s="3">
        <v>0</v>
      </c>
      <c r="T25" s="3">
        <v>0</v>
      </c>
      <c r="U25" s="1" t="s">
        <v>57</v>
      </c>
      <c r="V25" s="1" t="s">
        <v>58</v>
      </c>
      <c r="W25" s="3">
        <v>1</v>
      </c>
      <c r="X25" s="3">
        <v>0</v>
      </c>
      <c r="Y25" s="3">
        <v>0</v>
      </c>
      <c r="Z25" s="3">
        <v>1</v>
      </c>
      <c r="AA25" s="1" t="s">
        <v>452</v>
      </c>
      <c r="AB25" s="1" t="s">
        <v>60</v>
      </c>
      <c r="AD25" s="1" t="s">
        <v>362</v>
      </c>
      <c r="AE25" s="1" t="s">
        <v>362</v>
      </c>
      <c r="AF25" s="3" t="s">
        <v>135</v>
      </c>
      <c r="AG25" s="3" t="s">
        <v>63</v>
      </c>
      <c r="AH25" s="1" t="s">
        <v>453</v>
      </c>
    </row>
    <row r="26" spans="1:36" s="1" customFormat="1" ht="29.1">
      <c r="A26" s="15" t="s">
        <v>564</v>
      </c>
      <c r="B26" s="1" t="s">
        <v>565</v>
      </c>
      <c r="C26" s="3"/>
      <c r="D26" s="1" t="s">
        <v>566</v>
      </c>
      <c r="E26" s="1" t="s">
        <v>567</v>
      </c>
      <c r="F26" s="3">
        <v>338288</v>
      </c>
      <c r="G26" s="3">
        <v>733486</v>
      </c>
      <c r="H26" s="4">
        <v>3.0119966076834561E-2</v>
      </c>
      <c r="I26" s="2">
        <v>44890</v>
      </c>
      <c r="J26" s="1" t="s">
        <v>53</v>
      </c>
      <c r="K26" s="1" t="s">
        <v>89</v>
      </c>
      <c r="M26" s="1" t="s">
        <v>568</v>
      </c>
      <c r="N26" s="2">
        <v>44890</v>
      </c>
      <c r="O26" s="1" t="s">
        <v>91</v>
      </c>
      <c r="P26" s="2"/>
      <c r="Q26" s="3">
        <v>1</v>
      </c>
      <c r="R26" s="3">
        <v>1</v>
      </c>
      <c r="S26" s="3">
        <v>0</v>
      </c>
      <c r="T26" s="3">
        <v>0</v>
      </c>
      <c r="U26" s="1" t="s">
        <v>57</v>
      </c>
      <c r="V26" s="1" t="s">
        <v>58</v>
      </c>
      <c r="W26" s="3">
        <v>1</v>
      </c>
      <c r="X26" s="3">
        <v>0</v>
      </c>
      <c r="Y26" s="3">
        <v>0</v>
      </c>
      <c r="Z26" s="3">
        <v>1</v>
      </c>
      <c r="AA26" s="1" t="s">
        <v>452</v>
      </c>
      <c r="AB26" s="1" t="s">
        <v>60</v>
      </c>
      <c r="AD26" s="1" t="s">
        <v>362</v>
      </c>
      <c r="AE26" s="1" t="s">
        <v>362</v>
      </c>
      <c r="AF26" s="3" t="s">
        <v>135</v>
      </c>
      <c r="AG26" s="3" t="s">
        <v>63</v>
      </c>
      <c r="AH26" s="1" t="s">
        <v>453</v>
      </c>
    </row>
    <row r="27" spans="1:36" s="1" customFormat="1" ht="14.45">
      <c r="A27" s="15" t="s">
        <v>569</v>
      </c>
      <c r="B27" s="1" t="s">
        <v>570</v>
      </c>
      <c r="C27" s="3"/>
      <c r="D27" s="1" t="s">
        <v>571</v>
      </c>
      <c r="E27" s="1" t="s">
        <v>572</v>
      </c>
      <c r="F27" s="3">
        <v>339440</v>
      </c>
      <c r="G27" s="3">
        <v>730204</v>
      </c>
      <c r="H27" s="4">
        <v>3.3732719998167571E-2</v>
      </c>
      <c r="I27" s="2">
        <v>45064</v>
      </c>
      <c r="J27" s="1" t="s">
        <v>53</v>
      </c>
      <c r="K27" s="1" t="s">
        <v>54</v>
      </c>
      <c r="M27" s="1" t="s">
        <v>573</v>
      </c>
      <c r="N27" s="2">
        <v>45064</v>
      </c>
      <c r="O27" s="1" t="s">
        <v>91</v>
      </c>
      <c r="P27" s="2"/>
      <c r="Q27" s="3">
        <v>2</v>
      </c>
      <c r="R27" s="3">
        <v>2</v>
      </c>
      <c r="S27" s="3">
        <v>0</v>
      </c>
      <c r="T27" s="3">
        <v>0</v>
      </c>
      <c r="U27" s="1" t="s">
        <v>57</v>
      </c>
      <c r="V27" s="1" t="s">
        <v>58</v>
      </c>
      <c r="W27" s="3">
        <v>2</v>
      </c>
      <c r="X27" s="3">
        <v>0</v>
      </c>
      <c r="Y27" s="3">
        <v>2</v>
      </c>
      <c r="Z27" s="3">
        <v>0</v>
      </c>
      <c r="AA27" s="1" t="s">
        <v>452</v>
      </c>
      <c r="AB27" s="1" t="s">
        <v>60</v>
      </c>
      <c r="AD27" s="1" t="s">
        <v>362</v>
      </c>
      <c r="AE27" s="1" t="s">
        <v>362</v>
      </c>
      <c r="AF27" s="3" t="s">
        <v>135</v>
      </c>
      <c r="AG27" s="3" t="s">
        <v>63</v>
      </c>
      <c r="AH27" s="1" t="s">
        <v>63</v>
      </c>
    </row>
    <row r="28" spans="1:36" s="1" customFormat="1" ht="29.1">
      <c r="A28" s="15" t="s">
        <v>574</v>
      </c>
      <c r="B28" s="1" t="s">
        <v>575</v>
      </c>
      <c r="C28" s="3"/>
      <c r="D28" s="1" t="s">
        <v>576</v>
      </c>
      <c r="E28" s="1" t="s">
        <v>577</v>
      </c>
      <c r="F28" s="3">
        <v>342298</v>
      </c>
      <c r="G28" s="3">
        <v>731118</v>
      </c>
      <c r="H28" s="4">
        <v>0.1155423440099711</v>
      </c>
      <c r="I28" s="2">
        <v>45065</v>
      </c>
      <c r="J28" s="1" t="s">
        <v>53</v>
      </c>
      <c r="K28" s="1" t="s">
        <v>54</v>
      </c>
      <c r="M28" s="1" t="s">
        <v>578</v>
      </c>
      <c r="N28" s="2">
        <v>45065</v>
      </c>
      <c r="O28" s="1" t="s">
        <v>91</v>
      </c>
      <c r="P28" s="2"/>
      <c r="Q28" s="3">
        <v>2</v>
      </c>
      <c r="R28" s="3">
        <v>2</v>
      </c>
      <c r="S28" s="3">
        <v>0</v>
      </c>
      <c r="T28" s="3">
        <v>0</v>
      </c>
      <c r="U28" s="1" t="s">
        <v>57</v>
      </c>
      <c r="V28" s="1" t="s">
        <v>58</v>
      </c>
      <c r="W28" s="3">
        <v>2</v>
      </c>
      <c r="X28" s="3">
        <v>0</v>
      </c>
      <c r="Y28" s="3">
        <v>0</v>
      </c>
      <c r="Z28" s="3">
        <v>2</v>
      </c>
      <c r="AA28" s="1" t="s">
        <v>452</v>
      </c>
      <c r="AB28" s="1" t="s">
        <v>60</v>
      </c>
      <c r="AD28" s="1" t="s">
        <v>362</v>
      </c>
      <c r="AE28" s="1" t="s">
        <v>362</v>
      </c>
      <c r="AF28" s="3" t="s">
        <v>135</v>
      </c>
      <c r="AG28" s="3" t="s">
        <v>63</v>
      </c>
      <c r="AH28" s="1" t="s">
        <v>63</v>
      </c>
    </row>
    <row r="29" spans="1:36" s="1" customFormat="1" ht="14.45">
      <c r="A29" s="15" t="s">
        <v>579</v>
      </c>
      <c r="B29" s="1" t="s">
        <v>540</v>
      </c>
      <c r="C29" s="3"/>
      <c r="D29" s="1" t="s">
        <v>580</v>
      </c>
      <c r="E29" s="1" t="s">
        <v>581</v>
      </c>
      <c r="F29" s="3">
        <v>344271</v>
      </c>
      <c r="G29" s="3">
        <v>731367</v>
      </c>
      <c r="H29" s="4">
        <v>8.5897913524359021E-2</v>
      </c>
      <c r="I29" s="2">
        <v>45128</v>
      </c>
      <c r="J29" s="1" t="s">
        <v>53</v>
      </c>
      <c r="K29" s="1" t="s">
        <v>54</v>
      </c>
      <c r="M29" s="1" t="s">
        <v>582</v>
      </c>
      <c r="N29" s="2">
        <v>45128</v>
      </c>
      <c r="O29" s="1" t="s">
        <v>56</v>
      </c>
      <c r="P29" s="2">
        <v>45401</v>
      </c>
      <c r="Q29" s="3">
        <v>1</v>
      </c>
      <c r="R29" s="3">
        <v>1</v>
      </c>
      <c r="S29" s="3">
        <v>0</v>
      </c>
      <c r="T29" s="3">
        <v>0</v>
      </c>
      <c r="U29" s="1" t="s">
        <v>57</v>
      </c>
      <c r="V29" s="1" t="s">
        <v>58</v>
      </c>
      <c r="W29" s="3">
        <v>1</v>
      </c>
      <c r="X29" s="3">
        <v>0</v>
      </c>
      <c r="Y29" s="3">
        <v>0</v>
      </c>
      <c r="Z29" s="3">
        <v>1</v>
      </c>
      <c r="AA29" s="1" t="s">
        <v>452</v>
      </c>
      <c r="AB29" s="1" t="s">
        <v>60</v>
      </c>
      <c r="AD29" s="1" t="s">
        <v>362</v>
      </c>
      <c r="AE29" s="1" t="s">
        <v>362</v>
      </c>
      <c r="AF29" s="3" t="s">
        <v>135</v>
      </c>
      <c r="AG29" s="3" t="s">
        <v>63</v>
      </c>
      <c r="AH29" s="1" t="s">
        <v>453</v>
      </c>
    </row>
    <row r="30" spans="1:36" s="1" customFormat="1" ht="14.45">
      <c r="A30" s="15" t="s">
        <v>583</v>
      </c>
      <c r="B30" s="1" t="s">
        <v>584</v>
      </c>
      <c r="C30" s="3"/>
      <c r="D30" s="1" t="s">
        <v>585</v>
      </c>
      <c r="E30" s="1" t="s">
        <v>586</v>
      </c>
      <c r="F30" s="3">
        <v>338740</v>
      </c>
      <c r="G30" s="3">
        <v>730664</v>
      </c>
      <c r="H30" s="4">
        <v>4.0554276958288558E-3</v>
      </c>
      <c r="I30" s="2">
        <v>45135</v>
      </c>
      <c r="J30" s="1" t="s">
        <v>53</v>
      </c>
      <c r="K30" s="1" t="s">
        <v>54</v>
      </c>
      <c r="M30" s="1" t="s">
        <v>587</v>
      </c>
      <c r="N30" s="2">
        <v>45135</v>
      </c>
      <c r="O30" s="1" t="s">
        <v>91</v>
      </c>
      <c r="P30" s="2"/>
      <c r="Q30" s="3">
        <v>1</v>
      </c>
      <c r="R30" s="3">
        <v>1</v>
      </c>
      <c r="S30" s="3">
        <v>0</v>
      </c>
      <c r="T30" s="3">
        <v>0</v>
      </c>
      <c r="U30" s="1" t="s">
        <v>57</v>
      </c>
      <c r="V30" s="1" t="s">
        <v>58</v>
      </c>
      <c r="W30" s="3">
        <v>1</v>
      </c>
      <c r="X30" s="3">
        <v>0</v>
      </c>
      <c r="Y30" s="3">
        <v>1</v>
      </c>
      <c r="Z30" s="3">
        <v>0</v>
      </c>
      <c r="AA30" s="1" t="s">
        <v>452</v>
      </c>
      <c r="AB30" s="1" t="s">
        <v>60</v>
      </c>
      <c r="AD30" s="1" t="s">
        <v>362</v>
      </c>
      <c r="AE30" s="1" t="s">
        <v>362</v>
      </c>
      <c r="AF30" s="3" t="s">
        <v>135</v>
      </c>
      <c r="AG30" s="3" t="s">
        <v>63</v>
      </c>
      <c r="AH30" s="1" t="s">
        <v>453</v>
      </c>
    </row>
    <row r="31" spans="1:36" s="1" customFormat="1" ht="14.45">
      <c r="A31" s="15" t="s">
        <v>588</v>
      </c>
      <c r="B31" s="1" t="s">
        <v>589</v>
      </c>
      <c r="C31" s="3"/>
      <c r="D31" s="1" t="s">
        <v>590</v>
      </c>
      <c r="E31" s="1" t="s">
        <v>591</v>
      </c>
      <c r="F31" s="3">
        <v>340211</v>
      </c>
      <c r="G31" s="3">
        <v>730614</v>
      </c>
      <c r="H31" s="4">
        <v>7.7226592003015512E-3</v>
      </c>
      <c r="I31" s="2">
        <v>45138</v>
      </c>
      <c r="J31" s="1" t="s">
        <v>53</v>
      </c>
      <c r="K31" s="1" t="s">
        <v>54</v>
      </c>
      <c r="M31" s="1" t="s">
        <v>592</v>
      </c>
      <c r="N31" s="2">
        <v>45138</v>
      </c>
      <c r="O31" s="1" t="s">
        <v>91</v>
      </c>
      <c r="P31" s="2"/>
      <c r="Q31" s="3">
        <v>1</v>
      </c>
      <c r="R31" s="3">
        <v>1</v>
      </c>
      <c r="S31" s="3">
        <v>0</v>
      </c>
      <c r="T31" s="3">
        <v>0</v>
      </c>
      <c r="U31" s="1" t="s">
        <v>57</v>
      </c>
      <c r="V31" s="1" t="s">
        <v>58</v>
      </c>
      <c r="W31" s="3">
        <v>1</v>
      </c>
      <c r="X31" s="3">
        <v>0</v>
      </c>
      <c r="Y31" s="3">
        <v>1</v>
      </c>
      <c r="Z31" s="3">
        <v>0</v>
      </c>
      <c r="AA31" s="1" t="s">
        <v>452</v>
      </c>
      <c r="AB31" s="1" t="s">
        <v>60</v>
      </c>
      <c r="AD31" s="1" t="s">
        <v>593</v>
      </c>
      <c r="AE31" s="1" t="s">
        <v>593</v>
      </c>
      <c r="AF31" s="3" t="s">
        <v>135</v>
      </c>
      <c r="AG31" s="3" t="s">
        <v>63</v>
      </c>
      <c r="AH31" s="1" t="s">
        <v>453</v>
      </c>
    </row>
    <row r="32" spans="1:36" s="1" customFormat="1" ht="29.1">
      <c r="A32" s="15" t="s">
        <v>594</v>
      </c>
      <c r="B32" s="1" t="s">
        <v>595</v>
      </c>
      <c r="C32" s="3"/>
      <c r="D32" s="1" t="s">
        <v>596</v>
      </c>
      <c r="E32" s="1" t="s">
        <v>597</v>
      </c>
      <c r="F32" s="3">
        <v>340809</v>
      </c>
      <c r="G32" s="3">
        <v>732504</v>
      </c>
      <c r="H32" s="4">
        <v>3.1726485937886358E-2</v>
      </c>
      <c r="I32" s="2">
        <v>45148</v>
      </c>
      <c r="J32" s="1" t="s">
        <v>53</v>
      </c>
      <c r="K32" s="1" t="s">
        <v>89</v>
      </c>
      <c r="M32" s="1" t="s">
        <v>598</v>
      </c>
      <c r="N32" s="2">
        <v>45496</v>
      </c>
      <c r="O32" s="1" t="s">
        <v>91</v>
      </c>
      <c r="P32" s="2"/>
      <c r="Q32" s="3">
        <v>1</v>
      </c>
      <c r="R32" s="3">
        <v>1</v>
      </c>
      <c r="S32" s="3">
        <v>0</v>
      </c>
      <c r="T32" s="3">
        <v>0</v>
      </c>
      <c r="U32" s="1" t="s">
        <v>57</v>
      </c>
      <c r="V32" s="1" t="s">
        <v>58</v>
      </c>
      <c r="W32" s="3">
        <v>1</v>
      </c>
      <c r="X32" s="3">
        <v>0</v>
      </c>
      <c r="Y32" s="3">
        <v>0</v>
      </c>
      <c r="Z32" s="3">
        <v>1</v>
      </c>
      <c r="AA32" s="1" t="s">
        <v>452</v>
      </c>
      <c r="AB32" s="1" t="s">
        <v>60</v>
      </c>
      <c r="AD32" s="1" t="s">
        <v>362</v>
      </c>
      <c r="AE32" s="1" t="s">
        <v>362</v>
      </c>
      <c r="AF32" s="3" t="s">
        <v>135</v>
      </c>
      <c r="AG32" s="3" t="s">
        <v>63</v>
      </c>
      <c r="AH32" s="1" t="s">
        <v>453</v>
      </c>
    </row>
    <row r="33" spans="1:36" s="1" customFormat="1" ht="14.45">
      <c r="A33" s="15" t="s">
        <v>599</v>
      </c>
      <c r="B33" s="1" t="s">
        <v>600</v>
      </c>
      <c r="C33" s="3"/>
      <c r="D33" s="1" t="s">
        <v>601</v>
      </c>
      <c r="E33" s="1" t="s">
        <v>602</v>
      </c>
      <c r="F33" s="3">
        <v>340252</v>
      </c>
      <c r="G33" s="3">
        <v>730132</v>
      </c>
      <c r="H33" s="4">
        <v>1.2693414446892671E-2</v>
      </c>
      <c r="I33" s="2">
        <v>45233</v>
      </c>
      <c r="J33" s="1" t="s">
        <v>53</v>
      </c>
      <c r="K33" s="1" t="s">
        <v>54</v>
      </c>
      <c r="M33" s="1" t="s">
        <v>603</v>
      </c>
      <c r="N33" s="2">
        <v>45233</v>
      </c>
      <c r="O33" s="1" t="s">
        <v>91</v>
      </c>
      <c r="P33" s="2"/>
      <c r="Q33" s="3">
        <v>2</v>
      </c>
      <c r="R33" s="3">
        <v>2</v>
      </c>
      <c r="S33" s="3">
        <v>0</v>
      </c>
      <c r="T33" s="3">
        <v>0</v>
      </c>
      <c r="U33" s="1" t="s">
        <v>57</v>
      </c>
      <c r="V33" s="1" t="s">
        <v>58</v>
      </c>
      <c r="W33" s="3">
        <v>2</v>
      </c>
      <c r="X33" s="3">
        <v>0</v>
      </c>
      <c r="Y33" s="3">
        <v>2</v>
      </c>
      <c r="Z33" s="3">
        <v>0</v>
      </c>
      <c r="AA33" s="1" t="s">
        <v>452</v>
      </c>
      <c r="AB33" s="1" t="s">
        <v>60</v>
      </c>
      <c r="AD33" s="1" t="s">
        <v>362</v>
      </c>
      <c r="AE33" s="1" t="s">
        <v>362</v>
      </c>
      <c r="AF33" s="3" t="s">
        <v>135</v>
      </c>
      <c r="AG33" s="3" t="s">
        <v>63</v>
      </c>
      <c r="AH33" s="1" t="s">
        <v>63</v>
      </c>
    </row>
    <row r="34" spans="1:36" s="1" customFormat="1" ht="14.45">
      <c r="A34" s="15" t="s">
        <v>604</v>
      </c>
      <c r="B34" s="1" t="s">
        <v>589</v>
      </c>
      <c r="C34" s="3"/>
      <c r="D34" s="1" t="s">
        <v>605</v>
      </c>
      <c r="E34" s="1" t="s">
        <v>606</v>
      </c>
      <c r="F34" s="3">
        <v>340204</v>
      </c>
      <c r="G34" s="3">
        <v>730611</v>
      </c>
      <c r="H34" s="4">
        <v>1.7496595450065631E-2</v>
      </c>
      <c r="I34" s="2">
        <v>45281</v>
      </c>
      <c r="J34" s="1" t="s">
        <v>53</v>
      </c>
      <c r="K34" s="1" t="s">
        <v>54</v>
      </c>
      <c r="M34" s="1" t="s">
        <v>607</v>
      </c>
      <c r="N34" s="2">
        <v>45281</v>
      </c>
      <c r="O34" s="1" t="s">
        <v>91</v>
      </c>
      <c r="P34" s="2"/>
      <c r="Q34" s="3">
        <v>1</v>
      </c>
      <c r="R34" s="3">
        <v>1</v>
      </c>
      <c r="S34" s="3">
        <v>0</v>
      </c>
      <c r="T34" s="3">
        <v>0</v>
      </c>
      <c r="U34" s="1" t="s">
        <v>57</v>
      </c>
      <c r="V34" s="1" t="s">
        <v>58</v>
      </c>
      <c r="W34" s="3">
        <v>1</v>
      </c>
      <c r="X34" s="3">
        <v>0</v>
      </c>
      <c r="Y34" s="3">
        <v>1</v>
      </c>
      <c r="Z34" s="3">
        <v>0</v>
      </c>
      <c r="AA34" s="1" t="s">
        <v>452</v>
      </c>
      <c r="AB34" s="1" t="s">
        <v>60</v>
      </c>
      <c r="AD34" s="1" t="s">
        <v>593</v>
      </c>
      <c r="AE34" s="1" t="s">
        <v>593</v>
      </c>
      <c r="AF34" s="3" t="s">
        <v>135</v>
      </c>
      <c r="AG34" s="3" t="s">
        <v>63</v>
      </c>
      <c r="AH34" s="1" t="s">
        <v>453</v>
      </c>
    </row>
    <row r="35" spans="1:36" s="1" customFormat="1" ht="14.45">
      <c r="A35" s="15" t="s">
        <v>608</v>
      </c>
      <c r="B35" s="1" t="s">
        <v>609</v>
      </c>
      <c r="C35" s="3"/>
      <c r="D35" s="1" t="s">
        <v>610</v>
      </c>
      <c r="E35" s="1" t="s">
        <v>611</v>
      </c>
      <c r="F35" s="3">
        <v>340141</v>
      </c>
      <c r="G35" s="3">
        <v>730567</v>
      </c>
      <c r="H35" s="4">
        <v>1.1603429469049509E-2</v>
      </c>
      <c r="I35" s="2">
        <v>45303</v>
      </c>
      <c r="J35" s="1" t="s">
        <v>53</v>
      </c>
      <c r="K35" s="1" t="s">
        <v>54</v>
      </c>
      <c r="M35" s="1" t="s">
        <v>612</v>
      </c>
      <c r="N35" s="2">
        <v>45303</v>
      </c>
      <c r="O35" s="1" t="s">
        <v>56</v>
      </c>
      <c r="P35" s="2">
        <v>45809</v>
      </c>
      <c r="Q35" s="3">
        <v>1</v>
      </c>
      <c r="R35" s="3">
        <v>1</v>
      </c>
      <c r="S35" s="3">
        <v>0</v>
      </c>
      <c r="T35" s="3">
        <v>0</v>
      </c>
      <c r="U35" s="1" t="s">
        <v>57</v>
      </c>
      <c r="V35" s="1" t="s">
        <v>58</v>
      </c>
      <c r="W35" s="3">
        <v>1</v>
      </c>
      <c r="X35" s="3">
        <v>0</v>
      </c>
      <c r="Y35" s="3">
        <v>1</v>
      </c>
      <c r="Z35" s="3">
        <v>0</v>
      </c>
      <c r="AA35" s="1" t="s">
        <v>452</v>
      </c>
      <c r="AB35" s="1" t="s">
        <v>60</v>
      </c>
      <c r="AD35" s="1" t="s">
        <v>362</v>
      </c>
      <c r="AE35" s="1" t="s">
        <v>362</v>
      </c>
      <c r="AF35" s="3" t="s">
        <v>135</v>
      </c>
      <c r="AG35" s="3" t="s">
        <v>63</v>
      </c>
      <c r="AH35" s="1" t="s">
        <v>453</v>
      </c>
    </row>
    <row r="36" spans="1:36" s="1" customFormat="1" ht="14.45">
      <c r="A36" s="15" t="s">
        <v>613</v>
      </c>
      <c r="B36" s="1" t="s">
        <v>614</v>
      </c>
      <c r="C36" s="3"/>
      <c r="D36" s="1" t="s">
        <v>615</v>
      </c>
      <c r="E36" s="1" t="s">
        <v>616</v>
      </c>
      <c r="F36" s="3">
        <v>338788</v>
      </c>
      <c r="G36" s="3">
        <v>729671</v>
      </c>
      <c r="H36" s="4">
        <v>5.0141812315407257E-2</v>
      </c>
      <c r="I36" s="2">
        <v>45314</v>
      </c>
      <c r="J36" s="1" t="s">
        <v>53</v>
      </c>
      <c r="K36" s="1" t="s">
        <v>54</v>
      </c>
      <c r="M36" s="1" t="s">
        <v>617</v>
      </c>
      <c r="N36" s="2">
        <v>45314</v>
      </c>
      <c r="O36" s="1" t="s">
        <v>91</v>
      </c>
      <c r="P36" s="2"/>
      <c r="Q36" s="3">
        <v>2</v>
      </c>
      <c r="R36" s="3">
        <v>2</v>
      </c>
      <c r="S36" s="3">
        <v>0</v>
      </c>
      <c r="T36" s="3">
        <v>0</v>
      </c>
      <c r="U36" s="1" t="s">
        <v>57</v>
      </c>
      <c r="V36" s="1" t="s">
        <v>58</v>
      </c>
      <c r="W36" s="3">
        <v>1</v>
      </c>
      <c r="X36" s="3">
        <v>0</v>
      </c>
      <c r="Y36" s="3">
        <v>0</v>
      </c>
      <c r="Z36" s="3">
        <v>2</v>
      </c>
      <c r="AA36" s="1" t="s">
        <v>452</v>
      </c>
      <c r="AB36" s="1" t="s">
        <v>60</v>
      </c>
      <c r="AD36" s="1" t="s">
        <v>362</v>
      </c>
      <c r="AE36" s="1" t="s">
        <v>362</v>
      </c>
      <c r="AF36" s="3" t="s">
        <v>135</v>
      </c>
      <c r="AG36" s="3" t="s">
        <v>63</v>
      </c>
      <c r="AH36" s="1" t="s">
        <v>63</v>
      </c>
    </row>
    <row r="37" spans="1:36" s="1" customFormat="1" ht="14.45">
      <c r="A37" s="15" t="s">
        <v>618</v>
      </c>
      <c r="B37" s="1" t="s">
        <v>437</v>
      </c>
      <c r="C37" s="3"/>
      <c r="D37" s="1" t="s">
        <v>619</v>
      </c>
      <c r="E37" s="1" t="s">
        <v>620</v>
      </c>
      <c r="F37" s="3">
        <v>336752</v>
      </c>
      <c r="G37" s="3">
        <v>730030</v>
      </c>
      <c r="H37" s="4">
        <v>0.31688737971026337</v>
      </c>
      <c r="I37" s="2">
        <v>45327</v>
      </c>
      <c r="J37" s="1" t="s">
        <v>53</v>
      </c>
      <c r="K37" s="1" t="s">
        <v>54</v>
      </c>
      <c r="M37" s="1" t="s">
        <v>621</v>
      </c>
      <c r="N37" s="2">
        <v>45327</v>
      </c>
      <c r="O37" s="1" t="s">
        <v>91</v>
      </c>
      <c r="P37" s="2"/>
      <c r="Q37" s="3">
        <v>1</v>
      </c>
      <c r="R37" s="3">
        <v>1</v>
      </c>
      <c r="S37" s="3">
        <v>0</v>
      </c>
      <c r="T37" s="3">
        <v>0</v>
      </c>
      <c r="U37" s="1" t="s">
        <v>57</v>
      </c>
      <c r="V37" s="1" t="s">
        <v>58</v>
      </c>
      <c r="W37" s="3">
        <v>1</v>
      </c>
      <c r="X37" s="3">
        <v>0</v>
      </c>
      <c r="Y37" s="3">
        <v>0</v>
      </c>
      <c r="Z37" s="3">
        <v>1</v>
      </c>
      <c r="AA37" s="1" t="s">
        <v>452</v>
      </c>
      <c r="AB37" s="1" t="s">
        <v>60</v>
      </c>
      <c r="AD37" s="1" t="s">
        <v>362</v>
      </c>
      <c r="AE37" s="1" t="s">
        <v>362</v>
      </c>
      <c r="AF37" s="3" t="s">
        <v>135</v>
      </c>
      <c r="AG37" s="3" t="s">
        <v>63</v>
      </c>
      <c r="AH37" s="1" t="s">
        <v>453</v>
      </c>
    </row>
    <row r="38" spans="1:36" s="1" customFormat="1" ht="14.45">
      <c r="A38" s="15" t="s">
        <v>622</v>
      </c>
      <c r="B38" s="1" t="s">
        <v>589</v>
      </c>
      <c r="C38" s="3"/>
      <c r="D38" s="1" t="s">
        <v>623</v>
      </c>
      <c r="E38" s="1" t="s">
        <v>624</v>
      </c>
      <c r="F38" s="3">
        <v>340205</v>
      </c>
      <c r="G38" s="3">
        <v>730599</v>
      </c>
      <c r="H38" s="4">
        <v>1.252569388770665E-2</v>
      </c>
      <c r="I38" s="2">
        <v>45351</v>
      </c>
      <c r="J38" s="1" t="s">
        <v>53</v>
      </c>
      <c r="K38" s="1" t="s">
        <v>54</v>
      </c>
      <c r="M38" s="1" t="s">
        <v>625</v>
      </c>
      <c r="N38" s="2">
        <v>45351</v>
      </c>
      <c r="O38" s="1" t="s">
        <v>91</v>
      </c>
      <c r="P38" s="2"/>
      <c r="Q38" s="3">
        <v>1</v>
      </c>
      <c r="R38" s="3">
        <v>1</v>
      </c>
      <c r="S38" s="3">
        <v>0</v>
      </c>
      <c r="T38" s="3">
        <v>0</v>
      </c>
      <c r="U38" s="1" t="s">
        <v>57</v>
      </c>
      <c r="V38" s="1" t="s">
        <v>58</v>
      </c>
      <c r="W38" s="3">
        <v>1</v>
      </c>
      <c r="X38" s="3">
        <v>0</v>
      </c>
      <c r="Y38" s="3">
        <v>1</v>
      </c>
      <c r="Z38" s="3">
        <v>0</v>
      </c>
      <c r="AA38" s="1" t="s">
        <v>452</v>
      </c>
      <c r="AB38" s="1" t="s">
        <v>60</v>
      </c>
      <c r="AD38" s="1" t="s">
        <v>362</v>
      </c>
      <c r="AE38" s="1" t="s">
        <v>362</v>
      </c>
      <c r="AF38" s="3" t="s">
        <v>135</v>
      </c>
      <c r="AG38" s="3" t="s">
        <v>63</v>
      </c>
      <c r="AH38" s="1" t="s">
        <v>453</v>
      </c>
    </row>
    <row r="39" spans="1:36" s="1" customFormat="1" ht="29.1">
      <c r="A39" s="15" t="s">
        <v>626</v>
      </c>
      <c r="B39" s="1" t="s">
        <v>627</v>
      </c>
      <c r="C39" s="3"/>
      <c r="D39" s="1" t="s">
        <v>628</v>
      </c>
      <c r="E39" s="1" t="s">
        <v>629</v>
      </c>
      <c r="F39" s="3">
        <v>344544</v>
      </c>
      <c r="G39" s="3">
        <v>731906</v>
      </c>
      <c r="H39" s="4">
        <v>3.5516099999938627E-2</v>
      </c>
      <c r="I39" s="2">
        <v>45366</v>
      </c>
      <c r="J39" s="1" t="s">
        <v>53</v>
      </c>
      <c r="K39" s="1" t="s">
        <v>54</v>
      </c>
      <c r="M39" s="1" t="s">
        <v>630</v>
      </c>
      <c r="N39" s="2">
        <v>45366</v>
      </c>
      <c r="O39" s="1" t="s">
        <v>91</v>
      </c>
      <c r="P39" s="2"/>
      <c r="Q39" s="3">
        <v>1</v>
      </c>
      <c r="R39" s="3">
        <v>1</v>
      </c>
      <c r="S39" s="3">
        <v>0</v>
      </c>
      <c r="T39" s="3">
        <v>0</v>
      </c>
      <c r="U39" s="1" t="s">
        <v>57</v>
      </c>
      <c r="V39" s="1" t="s">
        <v>58</v>
      </c>
      <c r="W39" s="3">
        <v>1</v>
      </c>
      <c r="X39" s="3">
        <v>0</v>
      </c>
      <c r="Y39" s="3">
        <v>0</v>
      </c>
      <c r="Z39" s="3">
        <v>1</v>
      </c>
      <c r="AA39" s="1" t="s">
        <v>452</v>
      </c>
      <c r="AB39" s="1" t="s">
        <v>60</v>
      </c>
      <c r="AD39" s="1" t="s">
        <v>362</v>
      </c>
      <c r="AE39" s="1" t="s">
        <v>362</v>
      </c>
      <c r="AF39" s="3" t="s">
        <v>135</v>
      </c>
      <c r="AG39" s="3" t="s">
        <v>63</v>
      </c>
      <c r="AH39" s="1" t="s">
        <v>453</v>
      </c>
    </row>
    <row r="40" spans="1:36" s="1" customFormat="1" ht="29.1">
      <c r="A40" s="15" t="s">
        <v>631</v>
      </c>
      <c r="B40" s="1" t="s">
        <v>632</v>
      </c>
      <c r="C40" s="3"/>
      <c r="D40" s="1" t="s">
        <v>633</v>
      </c>
      <c r="E40" s="1" t="s">
        <v>634</v>
      </c>
      <c r="F40" s="3">
        <v>344360</v>
      </c>
      <c r="G40" s="3">
        <v>731160</v>
      </c>
      <c r="H40" s="4">
        <v>0.133380249194789</v>
      </c>
      <c r="I40" s="2">
        <v>45371</v>
      </c>
      <c r="J40" s="1" t="s">
        <v>53</v>
      </c>
      <c r="K40" s="1" t="s">
        <v>54</v>
      </c>
      <c r="M40" s="1" t="s">
        <v>635</v>
      </c>
      <c r="N40" s="2">
        <v>45371</v>
      </c>
      <c r="O40" s="1" t="s">
        <v>91</v>
      </c>
      <c r="P40" s="2"/>
      <c r="Q40" s="3">
        <v>1</v>
      </c>
      <c r="R40" s="3">
        <v>1</v>
      </c>
      <c r="S40" s="3">
        <v>0</v>
      </c>
      <c r="T40" s="3">
        <v>0</v>
      </c>
      <c r="U40" s="1" t="s">
        <v>57</v>
      </c>
      <c r="V40" s="1" t="s">
        <v>58</v>
      </c>
      <c r="W40" s="3">
        <v>1</v>
      </c>
      <c r="X40" s="3">
        <v>0</v>
      </c>
      <c r="Y40" s="3">
        <v>0</v>
      </c>
      <c r="Z40" s="3">
        <v>1</v>
      </c>
      <c r="AA40" s="1" t="s">
        <v>452</v>
      </c>
      <c r="AB40" s="1" t="s">
        <v>60</v>
      </c>
      <c r="AD40" s="1" t="s">
        <v>362</v>
      </c>
      <c r="AE40" s="1" t="s">
        <v>362</v>
      </c>
      <c r="AF40" s="3" t="s">
        <v>62</v>
      </c>
      <c r="AG40" s="3" t="s">
        <v>63</v>
      </c>
      <c r="AH40" s="1" t="s">
        <v>453</v>
      </c>
    </row>
    <row r="41" spans="1:36" s="1" customFormat="1" ht="14.45">
      <c r="A41" s="15" t="s">
        <v>636</v>
      </c>
      <c r="B41" s="1" t="s">
        <v>637</v>
      </c>
      <c r="C41" s="3"/>
      <c r="D41" s="1" t="s">
        <v>638</v>
      </c>
      <c r="E41" s="1" t="s">
        <v>639</v>
      </c>
      <c r="F41" s="3">
        <v>337542</v>
      </c>
      <c r="G41" s="3">
        <v>731818</v>
      </c>
      <c r="H41" s="4">
        <v>3.4755104896740489E-3</v>
      </c>
      <c r="I41" s="2">
        <v>45391</v>
      </c>
      <c r="J41" s="1" t="s">
        <v>53</v>
      </c>
      <c r="K41" s="1" t="s">
        <v>54</v>
      </c>
      <c r="M41" s="1" t="s">
        <v>640</v>
      </c>
      <c r="N41" s="2">
        <v>45469</v>
      </c>
      <c r="O41" s="1" t="s">
        <v>91</v>
      </c>
      <c r="P41" s="2"/>
      <c r="Q41" s="3">
        <v>1</v>
      </c>
      <c r="R41" s="3">
        <v>1</v>
      </c>
      <c r="S41" s="3">
        <v>0</v>
      </c>
      <c r="T41" s="3">
        <v>0</v>
      </c>
      <c r="U41" s="1" t="s">
        <v>57</v>
      </c>
      <c r="V41" s="1" t="s">
        <v>58</v>
      </c>
      <c r="W41" s="3">
        <v>1</v>
      </c>
      <c r="X41" s="3">
        <v>0</v>
      </c>
      <c r="Y41" s="3">
        <v>0</v>
      </c>
      <c r="Z41" s="3">
        <v>1</v>
      </c>
      <c r="AA41" s="1" t="s">
        <v>452</v>
      </c>
      <c r="AB41" s="1" t="s">
        <v>60</v>
      </c>
      <c r="AD41" s="1" t="s">
        <v>362</v>
      </c>
      <c r="AE41" s="1" t="s">
        <v>362</v>
      </c>
      <c r="AF41" s="3" t="s">
        <v>135</v>
      </c>
      <c r="AG41" s="3" t="s">
        <v>63</v>
      </c>
      <c r="AH41" s="1" t="s">
        <v>453</v>
      </c>
    </row>
    <row r="42" spans="1:36" s="1" customFormat="1" ht="24.95" customHeight="1">
      <c r="A42" s="15" t="s">
        <v>641</v>
      </c>
      <c r="B42" s="1" t="s">
        <v>642</v>
      </c>
      <c r="C42" s="3"/>
      <c r="D42" s="1" t="s">
        <v>643</v>
      </c>
      <c r="E42" s="1" t="s">
        <v>644</v>
      </c>
      <c r="F42" s="3">
        <v>340583</v>
      </c>
      <c r="G42" s="3">
        <v>731366</v>
      </c>
      <c r="H42" s="4">
        <v>4.3538545000795577E-2</v>
      </c>
      <c r="I42" s="2">
        <v>45399</v>
      </c>
      <c r="J42" s="1" t="s">
        <v>53</v>
      </c>
      <c r="K42" s="1" t="s">
        <v>54</v>
      </c>
      <c r="M42" s="1" t="s">
        <v>645</v>
      </c>
      <c r="N42" s="2">
        <v>45399</v>
      </c>
      <c r="O42" s="1" t="s">
        <v>56</v>
      </c>
      <c r="P42" s="2">
        <v>45915</v>
      </c>
      <c r="Q42" s="3">
        <v>2</v>
      </c>
      <c r="R42" s="3">
        <v>2</v>
      </c>
      <c r="S42" s="3">
        <v>0</v>
      </c>
      <c r="T42" s="3">
        <v>0</v>
      </c>
      <c r="U42" s="1" t="s">
        <v>57</v>
      </c>
      <c r="V42" s="1" t="s">
        <v>202</v>
      </c>
      <c r="W42" s="3">
        <v>0</v>
      </c>
      <c r="X42" s="3">
        <v>2</v>
      </c>
      <c r="Y42" s="3">
        <v>2</v>
      </c>
      <c r="Z42" s="3">
        <v>0</v>
      </c>
      <c r="AA42" s="1" t="s">
        <v>452</v>
      </c>
      <c r="AB42" s="1" t="s">
        <v>60</v>
      </c>
      <c r="AD42" s="1" t="s">
        <v>646</v>
      </c>
      <c r="AF42" s="3" t="s">
        <v>135</v>
      </c>
      <c r="AG42" s="3" t="s">
        <v>63</v>
      </c>
      <c r="AH42" s="1" t="s">
        <v>63</v>
      </c>
    </row>
    <row r="43" spans="1:36" s="1" customFormat="1" ht="26.45" customHeight="1">
      <c r="A43" s="15" t="s">
        <v>647</v>
      </c>
      <c r="B43" s="1" t="s">
        <v>648</v>
      </c>
      <c r="C43" s="3"/>
      <c r="D43" s="1" t="s">
        <v>649</v>
      </c>
      <c r="E43" s="1" t="s">
        <v>650</v>
      </c>
      <c r="F43" s="3">
        <v>346578</v>
      </c>
      <c r="G43" s="3">
        <v>730656</v>
      </c>
      <c r="H43" s="4">
        <v>3.6566215949250858E-2</v>
      </c>
      <c r="I43" s="2">
        <v>45464</v>
      </c>
      <c r="J43" s="1" t="s">
        <v>53</v>
      </c>
      <c r="K43" s="1" t="s">
        <v>54</v>
      </c>
      <c r="M43" s="1" t="s">
        <v>651</v>
      </c>
      <c r="N43" s="2">
        <v>45539</v>
      </c>
      <c r="O43" s="1" t="s">
        <v>56</v>
      </c>
      <c r="P43" s="2">
        <v>46085</v>
      </c>
      <c r="Q43" s="3">
        <v>1</v>
      </c>
      <c r="R43" s="3">
        <v>1</v>
      </c>
      <c r="S43" s="3">
        <v>0</v>
      </c>
      <c r="T43" s="3">
        <v>0</v>
      </c>
      <c r="U43" s="1" t="s">
        <v>57</v>
      </c>
      <c r="V43" s="1" t="s">
        <v>58</v>
      </c>
      <c r="W43" s="3">
        <v>1</v>
      </c>
      <c r="X43" s="3">
        <v>0</v>
      </c>
      <c r="Y43" s="3">
        <v>0</v>
      </c>
      <c r="Z43" s="3">
        <v>1</v>
      </c>
      <c r="AA43" s="1" t="s">
        <v>452</v>
      </c>
      <c r="AB43" s="1" t="s">
        <v>60</v>
      </c>
      <c r="AD43" s="1" t="s">
        <v>362</v>
      </c>
      <c r="AE43" s="1" t="s">
        <v>362</v>
      </c>
      <c r="AF43" s="3" t="s">
        <v>135</v>
      </c>
      <c r="AG43" s="3" t="s">
        <v>63</v>
      </c>
      <c r="AH43" s="1" t="s">
        <v>453</v>
      </c>
      <c r="AJ43" s="1" t="s">
        <v>652</v>
      </c>
    </row>
    <row r="44" spans="1:36" s="1" customFormat="1" ht="14.45">
      <c r="A44" s="15" t="s">
        <v>653</v>
      </c>
      <c r="B44" s="1" t="s">
        <v>654</v>
      </c>
      <c r="C44" s="3"/>
      <c r="D44" s="1" t="s">
        <v>655</v>
      </c>
      <c r="E44" s="1" t="s">
        <v>656</v>
      </c>
      <c r="F44" s="3">
        <v>344010</v>
      </c>
      <c r="G44" s="3">
        <v>731255</v>
      </c>
      <c r="H44" s="4">
        <v>0.21587102247519471</v>
      </c>
      <c r="I44" s="2">
        <v>45554</v>
      </c>
      <c r="J44" s="1" t="s">
        <v>53</v>
      </c>
      <c r="K44" s="1" t="s">
        <v>54</v>
      </c>
      <c r="M44" s="1" t="s">
        <v>657</v>
      </c>
      <c r="N44" s="2">
        <v>45630</v>
      </c>
      <c r="O44" s="1" t="s">
        <v>56</v>
      </c>
      <c r="P44" s="2">
        <v>45784</v>
      </c>
      <c r="Q44" s="3">
        <v>3</v>
      </c>
      <c r="R44" s="3">
        <v>3</v>
      </c>
      <c r="S44" s="3">
        <v>0</v>
      </c>
      <c r="T44" s="3">
        <v>0</v>
      </c>
      <c r="U44" s="1" t="s">
        <v>57</v>
      </c>
      <c r="V44" s="1" t="s">
        <v>58</v>
      </c>
      <c r="W44" s="3">
        <v>3</v>
      </c>
      <c r="X44" s="3">
        <v>0</v>
      </c>
      <c r="Y44" s="3">
        <v>0</v>
      </c>
      <c r="Z44" s="3">
        <v>3</v>
      </c>
      <c r="AA44" s="1" t="s">
        <v>452</v>
      </c>
      <c r="AB44" s="1" t="s">
        <v>60</v>
      </c>
      <c r="AD44" s="1" t="s">
        <v>362</v>
      </c>
      <c r="AE44" s="1" t="s">
        <v>362</v>
      </c>
      <c r="AF44" s="3" t="s">
        <v>135</v>
      </c>
      <c r="AG44" s="3" t="s">
        <v>63</v>
      </c>
      <c r="AH44" s="1" t="s">
        <v>63</v>
      </c>
    </row>
    <row r="45" spans="1:36" s="1" customFormat="1" ht="21.95" customHeight="1">
      <c r="A45" s="15" t="s">
        <v>658</v>
      </c>
      <c r="B45" s="1" t="s">
        <v>659</v>
      </c>
      <c r="C45" s="3"/>
      <c r="D45" s="1" t="s">
        <v>660</v>
      </c>
      <c r="E45" s="1" t="s">
        <v>661</v>
      </c>
      <c r="F45" s="3">
        <v>335459</v>
      </c>
      <c r="G45" s="3">
        <v>731606</v>
      </c>
      <c r="H45" s="4">
        <v>4.577481255460665E-2</v>
      </c>
      <c r="I45" s="2">
        <v>45637</v>
      </c>
      <c r="J45" s="1" t="s">
        <v>53</v>
      </c>
      <c r="K45" s="1" t="s">
        <v>54</v>
      </c>
      <c r="M45" s="1" t="s">
        <v>662</v>
      </c>
      <c r="N45" s="2">
        <v>45694</v>
      </c>
      <c r="O45" s="1" t="s">
        <v>91</v>
      </c>
      <c r="P45" s="2"/>
      <c r="Q45" s="3">
        <v>1</v>
      </c>
      <c r="R45" s="3">
        <v>1</v>
      </c>
      <c r="S45" s="3">
        <v>0</v>
      </c>
      <c r="T45" s="3">
        <v>0</v>
      </c>
      <c r="U45" s="1" t="s">
        <v>57</v>
      </c>
      <c r="V45" s="1" t="s">
        <v>58</v>
      </c>
      <c r="W45" s="3">
        <v>1</v>
      </c>
      <c r="X45" s="3">
        <v>0</v>
      </c>
      <c r="Y45" s="3">
        <v>0</v>
      </c>
      <c r="Z45" s="3">
        <v>1</v>
      </c>
      <c r="AA45" s="1" t="s">
        <v>452</v>
      </c>
      <c r="AB45" s="1" t="s">
        <v>60</v>
      </c>
      <c r="AD45" s="1" t="s">
        <v>362</v>
      </c>
      <c r="AE45" s="1" t="s">
        <v>362</v>
      </c>
      <c r="AF45" s="3" t="s">
        <v>135</v>
      </c>
      <c r="AG45" s="3" t="s">
        <v>63</v>
      </c>
      <c r="AH45" s="1" t="s">
        <v>63</v>
      </c>
    </row>
    <row r="46" spans="1:36" s="1" customFormat="1" ht="29.1">
      <c r="A46" s="15" t="s">
        <v>663</v>
      </c>
      <c r="B46" s="1" t="s">
        <v>664</v>
      </c>
      <c r="C46" s="3"/>
      <c r="D46" s="1" t="s">
        <v>665</v>
      </c>
      <c r="E46" s="1" t="s">
        <v>666</v>
      </c>
      <c r="F46" s="3">
        <v>340278</v>
      </c>
      <c r="G46" s="3">
        <v>730164</v>
      </c>
      <c r="H46" s="4">
        <v>7.4745463420747707E-3</v>
      </c>
      <c r="I46" s="2">
        <v>45644</v>
      </c>
      <c r="J46" s="1" t="s">
        <v>53</v>
      </c>
      <c r="K46" s="1" t="s">
        <v>54</v>
      </c>
      <c r="M46" s="1" t="s">
        <v>667</v>
      </c>
      <c r="N46" s="2">
        <v>45726</v>
      </c>
      <c r="O46" s="1" t="s">
        <v>91</v>
      </c>
      <c r="P46" s="2"/>
      <c r="Q46" s="3">
        <v>1</v>
      </c>
      <c r="R46" s="3">
        <v>1</v>
      </c>
      <c r="S46" s="3">
        <v>0</v>
      </c>
      <c r="T46" s="3">
        <v>0</v>
      </c>
      <c r="U46" s="1" t="s">
        <v>57</v>
      </c>
      <c r="V46" s="1" t="s">
        <v>58</v>
      </c>
      <c r="W46" s="3">
        <v>1</v>
      </c>
      <c r="X46" s="3">
        <v>0</v>
      </c>
      <c r="Y46" s="3">
        <v>1</v>
      </c>
      <c r="Z46" s="3">
        <v>0</v>
      </c>
      <c r="AA46" s="1" t="s">
        <v>452</v>
      </c>
      <c r="AB46" s="1" t="s">
        <v>60</v>
      </c>
      <c r="AD46" s="1" t="s">
        <v>362</v>
      </c>
      <c r="AE46" s="1" t="s">
        <v>362</v>
      </c>
      <c r="AF46" s="3" t="s">
        <v>135</v>
      </c>
      <c r="AG46" s="3" t="s">
        <v>63</v>
      </c>
      <c r="AH46" s="1" t="s">
        <v>63</v>
      </c>
    </row>
    <row r="47" spans="1:36" s="1" customFormat="1" ht="29.1">
      <c r="A47" s="15" t="s">
        <v>668</v>
      </c>
      <c r="B47" s="1" t="s">
        <v>669</v>
      </c>
      <c r="C47" s="3"/>
      <c r="D47" s="1" t="s">
        <v>670</v>
      </c>
      <c r="E47" s="1" t="s">
        <v>671</v>
      </c>
      <c r="F47" s="3">
        <v>341561</v>
      </c>
      <c r="G47" s="3">
        <v>731147</v>
      </c>
      <c r="H47" s="4">
        <v>1.2720830473777631E-2</v>
      </c>
      <c r="I47" s="2">
        <v>45680</v>
      </c>
      <c r="J47" s="1" t="s">
        <v>53</v>
      </c>
      <c r="K47" s="1" t="s">
        <v>54</v>
      </c>
      <c r="M47" s="1" t="s">
        <v>672</v>
      </c>
      <c r="N47" s="2">
        <v>45729</v>
      </c>
      <c r="O47" s="1" t="s">
        <v>91</v>
      </c>
      <c r="P47" s="2"/>
      <c r="Q47" s="3">
        <v>1</v>
      </c>
      <c r="R47" s="3">
        <v>1</v>
      </c>
      <c r="S47" s="3">
        <v>0</v>
      </c>
      <c r="T47" s="3">
        <v>0</v>
      </c>
      <c r="U47" s="1" t="s">
        <v>57</v>
      </c>
      <c r="V47" s="1" t="s">
        <v>58</v>
      </c>
      <c r="W47" s="3">
        <v>1</v>
      </c>
      <c r="X47" s="3">
        <v>0</v>
      </c>
      <c r="Y47" s="3">
        <v>1</v>
      </c>
      <c r="Z47" s="3">
        <v>0</v>
      </c>
      <c r="AA47" s="1" t="s">
        <v>452</v>
      </c>
      <c r="AB47" s="1" t="s">
        <v>60</v>
      </c>
      <c r="AD47" s="1" t="s">
        <v>673</v>
      </c>
      <c r="AE47" s="1" t="s">
        <v>673</v>
      </c>
      <c r="AF47" s="3" t="s">
        <v>135</v>
      </c>
      <c r="AG47" s="3" t="s">
        <v>63</v>
      </c>
      <c r="AH47" s="1" t="s">
        <v>63</v>
      </c>
    </row>
    <row r="48" spans="1:36" s="1" customFormat="1" ht="29.1">
      <c r="A48" s="15" t="s">
        <v>674</v>
      </c>
      <c r="B48" s="1" t="s">
        <v>675</v>
      </c>
      <c r="C48" s="3"/>
      <c r="D48" s="1" t="s">
        <v>676</v>
      </c>
      <c r="E48" s="1" t="s">
        <v>677</v>
      </c>
      <c r="F48" s="3">
        <v>335515</v>
      </c>
      <c r="G48" s="3">
        <v>730237</v>
      </c>
      <c r="H48" s="4">
        <v>5.1963621401015257E-2</v>
      </c>
      <c r="I48" s="2">
        <v>45687</v>
      </c>
      <c r="J48" s="1" t="s">
        <v>53</v>
      </c>
      <c r="K48" s="1" t="s">
        <v>54</v>
      </c>
      <c r="M48" s="1" t="s">
        <v>678</v>
      </c>
      <c r="N48" s="2">
        <v>45439</v>
      </c>
      <c r="O48" s="1" t="s">
        <v>91</v>
      </c>
      <c r="P48" s="2"/>
      <c r="Q48" s="3">
        <v>1</v>
      </c>
      <c r="R48" s="3">
        <v>1</v>
      </c>
      <c r="S48" s="3">
        <v>0</v>
      </c>
      <c r="T48" s="3">
        <v>0</v>
      </c>
      <c r="U48" s="1" t="s">
        <v>57</v>
      </c>
      <c r="V48" s="1" t="s">
        <v>58</v>
      </c>
      <c r="W48" s="3">
        <v>1</v>
      </c>
      <c r="X48" s="3">
        <v>0</v>
      </c>
      <c r="Y48" s="3">
        <v>0</v>
      </c>
      <c r="Z48" s="3">
        <v>1</v>
      </c>
      <c r="AA48" s="1" t="s">
        <v>452</v>
      </c>
      <c r="AB48" s="1" t="s">
        <v>60</v>
      </c>
      <c r="AD48" s="1" t="s">
        <v>362</v>
      </c>
      <c r="AE48" s="1" t="s">
        <v>362</v>
      </c>
      <c r="AF48" s="3" t="s">
        <v>135</v>
      </c>
      <c r="AG48" s="3" t="s">
        <v>63</v>
      </c>
      <c r="AH48" s="1" t="s">
        <v>453</v>
      </c>
    </row>
    <row r="49" spans="1:36" s="1" customFormat="1" ht="14.45">
      <c r="A49" s="15" t="s">
        <v>679</v>
      </c>
      <c r="B49" s="1" t="s">
        <v>680</v>
      </c>
      <c r="C49" s="3"/>
      <c r="D49" s="1" t="s">
        <v>681</v>
      </c>
      <c r="E49" s="1" t="s">
        <v>682</v>
      </c>
      <c r="F49" s="3">
        <v>346229</v>
      </c>
      <c r="G49" s="3">
        <v>730659</v>
      </c>
      <c r="H49" s="4">
        <v>5.5303225001124756E-3</v>
      </c>
      <c r="I49" s="2">
        <v>45786</v>
      </c>
      <c r="J49" s="1" t="s">
        <v>53</v>
      </c>
      <c r="K49" s="1" t="s">
        <v>54</v>
      </c>
      <c r="M49" s="1" t="s">
        <v>683</v>
      </c>
      <c r="N49" s="2">
        <v>45786</v>
      </c>
      <c r="O49" s="1" t="s">
        <v>91</v>
      </c>
      <c r="P49" s="2"/>
      <c r="Q49" s="3">
        <v>1</v>
      </c>
      <c r="R49" s="3">
        <v>1</v>
      </c>
      <c r="S49" s="3">
        <v>0</v>
      </c>
      <c r="T49" s="3">
        <v>0</v>
      </c>
      <c r="W49" s="3"/>
      <c r="X49" s="3"/>
      <c r="Y49" s="3">
        <v>0</v>
      </c>
      <c r="Z49" s="3">
        <v>1</v>
      </c>
      <c r="AA49" s="1" t="s">
        <v>452</v>
      </c>
      <c r="AB49" s="1" t="s">
        <v>60</v>
      </c>
      <c r="AD49" s="1" t="s">
        <v>362</v>
      </c>
      <c r="AE49" s="1" t="s">
        <v>362</v>
      </c>
      <c r="AF49" s="3" t="s">
        <v>135</v>
      </c>
      <c r="AG49" s="3" t="s">
        <v>63</v>
      </c>
      <c r="AH49" s="1" t="s">
        <v>63</v>
      </c>
    </row>
    <row r="50" spans="1:36" s="1" customFormat="1" ht="29.1">
      <c r="A50" s="15" t="s">
        <v>684</v>
      </c>
      <c r="B50" s="1" t="s">
        <v>685</v>
      </c>
      <c r="C50" s="3"/>
      <c r="D50" s="1" t="s">
        <v>686</v>
      </c>
      <c r="E50" s="1" t="s">
        <v>687</v>
      </c>
      <c r="F50" s="3">
        <v>345236</v>
      </c>
      <c r="G50" s="3">
        <v>732413</v>
      </c>
      <c r="H50" s="4">
        <v>0.10682818274887319</v>
      </c>
      <c r="I50" s="2">
        <v>45835</v>
      </c>
      <c r="J50" s="1" t="s">
        <v>53</v>
      </c>
      <c r="K50" s="1" t="s">
        <v>89</v>
      </c>
      <c r="M50" s="1" t="s">
        <v>688</v>
      </c>
      <c r="N50" s="2">
        <v>45835</v>
      </c>
      <c r="O50" s="1" t="s">
        <v>91</v>
      </c>
      <c r="P50" s="2"/>
      <c r="Q50" s="3">
        <v>1</v>
      </c>
      <c r="R50" s="3">
        <v>1</v>
      </c>
      <c r="S50" s="3">
        <v>0</v>
      </c>
      <c r="T50" s="3">
        <v>0</v>
      </c>
      <c r="W50" s="3"/>
      <c r="X50" s="3"/>
      <c r="Y50" s="3">
        <v>0</v>
      </c>
      <c r="Z50" s="3">
        <v>1</v>
      </c>
      <c r="AA50" s="1" t="s">
        <v>452</v>
      </c>
      <c r="AB50" s="1" t="s">
        <v>60</v>
      </c>
      <c r="AD50" s="1" t="s">
        <v>362</v>
      </c>
      <c r="AE50" s="1" t="s">
        <v>362</v>
      </c>
      <c r="AF50" s="3" t="s">
        <v>135</v>
      </c>
      <c r="AG50" s="3" t="s">
        <v>63</v>
      </c>
      <c r="AH50" s="1" t="s">
        <v>63</v>
      </c>
    </row>
    <row r="51" spans="1:36" s="1" customFormat="1" ht="29.1">
      <c r="A51" s="15" t="s">
        <v>689</v>
      </c>
      <c r="B51" s="1" t="s">
        <v>425</v>
      </c>
      <c r="C51" s="3"/>
      <c r="D51" s="1" t="s">
        <v>690</v>
      </c>
      <c r="E51" s="1" t="s">
        <v>691</v>
      </c>
      <c r="F51" s="3">
        <v>340466</v>
      </c>
      <c r="G51" s="3">
        <v>730345</v>
      </c>
      <c r="H51" s="4">
        <v>4.558232499938384E-2</v>
      </c>
      <c r="I51" s="2">
        <v>45888</v>
      </c>
      <c r="J51" s="1" t="s">
        <v>53</v>
      </c>
      <c r="K51" s="1" t="s">
        <v>54</v>
      </c>
      <c r="M51" s="1" t="s">
        <v>692</v>
      </c>
      <c r="N51" s="2">
        <v>45888</v>
      </c>
      <c r="O51" s="1" t="s">
        <v>91</v>
      </c>
      <c r="P51" s="2"/>
      <c r="Q51" s="3">
        <v>1</v>
      </c>
      <c r="R51" s="3">
        <v>1</v>
      </c>
      <c r="S51" s="3">
        <v>0</v>
      </c>
      <c r="T51" s="3">
        <v>0</v>
      </c>
      <c r="W51" s="3"/>
      <c r="X51" s="3"/>
      <c r="Y51" s="3">
        <v>1</v>
      </c>
      <c r="Z51" s="3">
        <v>0</v>
      </c>
      <c r="AA51" s="1" t="s">
        <v>452</v>
      </c>
      <c r="AB51" s="1" t="s">
        <v>60</v>
      </c>
      <c r="AD51" s="1" t="s">
        <v>362</v>
      </c>
      <c r="AE51" s="1" t="s">
        <v>362</v>
      </c>
      <c r="AF51" s="3" t="s">
        <v>135</v>
      </c>
      <c r="AG51" s="3" t="s">
        <v>63</v>
      </c>
      <c r="AH51" s="1" t="s">
        <v>63</v>
      </c>
    </row>
    <row r="52" spans="1:36" s="1" customFormat="1" ht="29.1">
      <c r="A52" s="15" t="s">
        <v>693</v>
      </c>
      <c r="B52" s="1" t="s">
        <v>425</v>
      </c>
      <c r="C52" s="3"/>
      <c r="D52" s="1" t="s">
        <v>426</v>
      </c>
      <c r="E52" s="1" t="s">
        <v>427</v>
      </c>
      <c r="F52" s="3">
        <v>340552</v>
      </c>
      <c r="G52" s="3">
        <v>730296</v>
      </c>
      <c r="H52" s="4">
        <v>1.6179139999853109E-2</v>
      </c>
      <c r="I52" s="2">
        <v>45933</v>
      </c>
      <c r="J52" s="1" t="s">
        <v>53</v>
      </c>
      <c r="K52" s="1" t="s">
        <v>54</v>
      </c>
      <c r="M52" s="1" t="s">
        <v>694</v>
      </c>
      <c r="N52" s="2">
        <v>45933</v>
      </c>
      <c r="O52" s="1" t="s">
        <v>91</v>
      </c>
      <c r="P52" s="2"/>
      <c r="Q52" s="3">
        <v>1</v>
      </c>
      <c r="R52" s="3">
        <v>1</v>
      </c>
      <c r="S52" s="3">
        <v>0</v>
      </c>
      <c r="T52" s="3">
        <v>0</v>
      </c>
      <c r="W52" s="3"/>
      <c r="X52" s="3"/>
      <c r="Y52" s="3">
        <v>1</v>
      </c>
      <c r="Z52" s="3">
        <v>0</v>
      </c>
      <c r="AA52" s="1" t="s">
        <v>452</v>
      </c>
      <c r="AB52" s="1" t="s">
        <v>60</v>
      </c>
      <c r="AD52" s="1" t="s">
        <v>429</v>
      </c>
      <c r="AE52" s="1" t="s">
        <v>429</v>
      </c>
      <c r="AF52" s="3" t="s">
        <v>135</v>
      </c>
      <c r="AG52" s="3" t="s">
        <v>63</v>
      </c>
      <c r="AH52" s="1" t="s">
        <v>63</v>
      </c>
    </row>
    <row r="53" spans="1:36" s="1" customFormat="1" ht="14.45">
      <c r="A53" s="15" t="s">
        <v>695</v>
      </c>
      <c r="B53" s="1" t="s">
        <v>437</v>
      </c>
      <c r="C53" s="3"/>
      <c r="D53" s="1" t="s">
        <v>696</v>
      </c>
      <c r="E53" s="1" t="s">
        <v>697</v>
      </c>
      <c r="F53" s="3">
        <v>336736</v>
      </c>
      <c r="G53" s="3">
        <v>729949</v>
      </c>
      <c r="H53" s="4">
        <v>7.3401884761536945E-2</v>
      </c>
      <c r="I53" s="2">
        <v>45938</v>
      </c>
      <c r="J53" s="1" t="s">
        <v>53</v>
      </c>
      <c r="K53" s="1" t="s">
        <v>54</v>
      </c>
      <c r="M53" s="1" t="s">
        <v>698</v>
      </c>
      <c r="N53" s="2">
        <v>45938</v>
      </c>
      <c r="O53" s="1" t="s">
        <v>91</v>
      </c>
      <c r="P53" s="2"/>
      <c r="Q53" s="3">
        <v>1</v>
      </c>
      <c r="R53" s="3">
        <v>1</v>
      </c>
      <c r="S53" s="3">
        <v>0</v>
      </c>
      <c r="T53" s="3">
        <v>0</v>
      </c>
      <c r="W53" s="3"/>
      <c r="X53" s="3"/>
      <c r="Y53" s="3">
        <v>0</v>
      </c>
      <c r="Z53" s="3">
        <v>1</v>
      </c>
      <c r="AA53" s="1" t="s">
        <v>452</v>
      </c>
      <c r="AB53" s="1" t="s">
        <v>60</v>
      </c>
      <c r="AD53" s="1" t="s">
        <v>362</v>
      </c>
      <c r="AE53" s="1" t="s">
        <v>362</v>
      </c>
      <c r="AF53" s="3" t="s">
        <v>135</v>
      </c>
      <c r="AG53" s="3" t="s">
        <v>63</v>
      </c>
      <c r="AH53" s="1" t="s">
        <v>63</v>
      </c>
    </row>
    <row r="54" spans="1:36" s="1" customFormat="1" ht="27.6" customHeight="1">
      <c r="A54" s="15" t="s">
        <v>699</v>
      </c>
      <c r="B54" s="1" t="s">
        <v>700</v>
      </c>
      <c r="C54" s="3"/>
      <c r="D54" s="1" t="s">
        <v>701</v>
      </c>
      <c r="E54" s="1" t="s">
        <v>702</v>
      </c>
      <c r="F54" s="3">
        <v>339134</v>
      </c>
      <c r="G54" s="3">
        <v>733842</v>
      </c>
      <c r="H54" s="4">
        <v>5.6060302486071259E-2</v>
      </c>
      <c r="I54" s="2">
        <v>45964</v>
      </c>
      <c r="J54" s="1" t="s">
        <v>53</v>
      </c>
      <c r="K54" s="1" t="s">
        <v>54</v>
      </c>
      <c r="M54" s="1" t="s">
        <v>703</v>
      </c>
      <c r="N54" s="2">
        <v>45964</v>
      </c>
      <c r="O54" s="1" t="s">
        <v>91</v>
      </c>
      <c r="P54" s="2"/>
      <c r="Q54" s="3">
        <v>1</v>
      </c>
      <c r="R54" s="3">
        <v>1</v>
      </c>
      <c r="S54" s="3">
        <v>0</v>
      </c>
      <c r="T54" s="3">
        <v>0</v>
      </c>
      <c r="W54" s="3"/>
      <c r="X54" s="3"/>
      <c r="Y54" s="3">
        <v>0</v>
      </c>
      <c r="Z54" s="3">
        <v>1</v>
      </c>
      <c r="AA54" s="1" t="s">
        <v>452</v>
      </c>
      <c r="AB54" s="1" t="s">
        <v>60</v>
      </c>
      <c r="AD54" s="1" t="s">
        <v>362</v>
      </c>
      <c r="AE54" s="1" t="s">
        <v>362</v>
      </c>
      <c r="AF54" s="3" t="s">
        <v>135</v>
      </c>
      <c r="AG54" s="3" t="s">
        <v>63</v>
      </c>
      <c r="AH54" s="1" t="s">
        <v>63</v>
      </c>
      <c r="AJ54" s="1" t="s">
        <v>704</v>
      </c>
    </row>
    <row r="55" spans="1:36" s="1" customFormat="1" ht="14.45">
      <c r="A55" s="15" t="s">
        <v>705</v>
      </c>
      <c r="B55" s="1" t="s">
        <v>706</v>
      </c>
      <c r="C55" s="3"/>
      <c r="D55" s="1" t="s">
        <v>655</v>
      </c>
      <c r="E55" s="1" t="s">
        <v>656</v>
      </c>
      <c r="F55" s="3">
        <v>343994</v>
      </c>
      <c r="G55" s="3">
        <v>731284</v>
      </c>
      <c r="H55" s="4">
        <v>0.1055638398133561</v>
      </c>
      <c r="I55" s="2">
        <v>45967</v>
      </c>
      <c r="J55" s="1" t="s">
        <v>53</v>
      </c>
      <c r="K55" s="1" t="s">
        <v>54</v>
      </c>
      <c r="M55" s="1" t="s">
        <v>707</v>
      </c>
      <c r="N55" s="2">
        <v>45967</v>
      </c>
      <c r="O55" s="1" t="s">
        <v>91</v>
      </c>
      <c r="P55" s="2"/>
      <c r="Q55" s="3">
        <v>1</v>
      </c>
      <c r="R55" s="3">
        <v>1</v>
      </c>
      <c r="S55" s="3">
        <v>0</v>
      </c>
      <c r="T55" s="3">
        <v>0</v>
      </c>
      <c r="W55" s="3"/>
      <c r="X55" s="3"/>
      <c r="Y55" s="3">
        <v>0</v>
      </c>
      <c r="Z55" s="3">
        <v>1</v>
      </c>
      <c r="AA55" s="1" t="s">
        <v>452</v>
      </c>
      <c r="AB55" s="1" t="s">
        <v>60</v>
      </c>
      <c r="AD55" s="1" t="s">
        <v>362</v>
      </c>
      <c r="AE55" s="1" t="s">
        <v>362</v>
      </c>
      <c r="AF55" s="3" t="s">
        <v>135</v>
      </c>
      <c r="AG55" s="3" t="s">
        <v>63</v>
      </c>
      <c r="AH55" s="1" t="s">
        <v>453</v>
      </c>
    </row>
    <row r="56" spans="1:36" s="1" customFormat="1" ht="14.45">
      <c r="A56" s="15" t="s">
        <v>708</v>
      </c>
      <c r="B56" s="1" t="s">
        <v>709</v>
      </c>
      <c r="C56" s="3"/>
      <c r="D56" s="1" t="s">
        <v>710</v>
      </c>
      <c r="E56" s="1" t="s">
        <v>711</v>
      </c>
      <c r="F56" s="3">
        <v>348058</v>
      </c>
      <c r="G56" s="3">
        <v>732850</v>
      </c>
      <c r="H56" s="4">
        <v>1.3433635090150031E-2</v>
      </c>
      <c r="I56" s="2">
        <v>45968</v>
      </c>
      <c r="J56" s="1" t="s">
        <v>53</v>
      </c>
      <c r="K56" s="1" t="s">
        <v>54</v>
      </c>
      <c r="M56" s="1" t="s">
        <v>712</v>
      </c>
      <c r="N56" s="2">
        <v>45968</v>
      </c>
      <c r="O56" s="1" t="s">
        <v>91</v>
      </c>
      <c r="P56" s="2"/>
      <c r="Q56" s="3">
        <v>1</v>
      </c>
      <c r="R56" s="3">
        <v>1</v>
      </c>
      <c r="S56" s="3">
        <v>0</v>
      </c>
      <c r="T56" s="3">
        <v>0</v>
      </c>
      <c r="W56" s="3"/>
      <c r="X56" s="3"/>
      <c r="Y56" s="3">
        <v>1</v>
      </c>
      <c r="Z56" s="3">
        <v>0</v>
      </c>
      <c r="AA56" s="1" t="s">
        <v>452</v>
      </c>
      <c r="AB56" s="1" t="s">
        <v>60</v>
      </c>
      <c r="AD56" s="1" t="s">
        <v>362</v>
      </c>
      <c r="AE56" s="1" t="s">
        <v>362</v>
      </c>
      <c r="AF56" s="3" t="s">
        <v>135</v>
      </c>
      <c r="AG56" s="3" t="s">
        <v>63</v>
      </c>
      <c r="AH56" s="1" t="s">
        <v>453</v>
      </c>
    </row>
    <row r="57" spans="1:36" s="1" customFormat="1" ht="29.1">
      <c r="A57" s="15" t="s">
        <v>713</v>
      </c>
      <c r="B57" s="1" t="s">
        <v>714</v>
      </c>
      <c r="C57" s="3"/>
      <c r="D57" s="1" t="s">
        <v>715</v>
      </c>
      <c r="E57" s="1" t="s">
        <v>716</v>
      </c>
      <c r="F57" s="3">
        <v>343235</v>
      </c>
      <c r="G57" s="3">
        <v>733264</v>
      </c>
      <c r="H57" s="4">
        <v>6.3131415775390304E-2</v>
      </c>
      <c r="I57" s="2">
        <v>46002</v>
      </c>
      <c r="K57" s="1" t="s">
        <v>54</v>
      </c>
      <c r="M57" s="1" t="s">
        <v>717</v>
      </c>
      <c r="N57" s="2">
        <v>46002</v>
      </c>
      <c r="O57" s="1" t="s">
        <v>91</v>
      </c>
      <c r="P57" s="2"/>
      <c r="Q57" s="3">
        <v>1</v>
      </c>
      <c r="R57" s="3">
        <v>1</v>
      </c>
      <c r="S57" s="3">
        <v>0</v>
      </c>
      <c r="T57" s="3">
        <v>0</v>
      </c>
      <c r="W57" s="3"/>
      <c r="X57" s="3"/>
      <c r="Y57" s="3">
        <v>0</v>
      </c>
      <c r="Z57" s="3">
        <v>1</v>
      </c>
      <c r="AA57" s="1" t="s">
        <v>452</v>
      </c>
      <c r="AB57" s="1" t="s">
        <v>60</v>
      </c>
      <c r="AD57" s="1" t="s">
        <v>356</v>
      </c>
      <c r="AE57" s="1" t="s">
        <v>356</v>
      </c>
      <c r="AF57" s="3" t="s">
        <v>135</v>
      </c>
      <c r="AG57" s="3" t="s">
        <v>63</v>
      </c>
      <c r="AH57" s="1" t="s">
        <v>63</v>
      </c>
    </row>
    <row r="58" spans="1:36" s="1" customFormat="1" ht="14.45">
      <c r="A58" s="15" t="s">
        <v>718</v>
      </c>
      <c r="B58" s="1" t="s">
        <v>719</v>
      </c>
      <c r="C58" s="3"/>
      <c r="D58" s="1" t="s">
        <v>720</v>
      </c>
      <c r="E58" s="1" t="s">
        <v>721</v>
      </c>
      <c r="F58" s="3">
        <v>345451</v>
      </c>
      <c r="G58" s="3">
        <v>731089</v>
      </c>
      <c r="H58" s="4">
        <v>4.8190358700136958E-2</v>
      </c>
      <c r="I58" s="2">
        <v>46009</v>
      </c>
      <c r="K58" s="1" t="s">
        <v>54</v>
      </c>
      <c r="M58" s="1" t="s">
        <v>722</v>
      </c>
      <c r="N58" s="2">
        <v>46009</v>
      </c>
      <c r="O58" s="1" t="s">
        <v>91</v>
      </c>
      <c r="P58" s="2"/>
      <c r="Q58" s="3">
        <v>1</v>
      </c>
      <c r="R58" s="3">
        <v>1</v>
      </c>
      <c r="S58" s="3">
        <v>0</v>
      </c>
      <c r="T58" s="3">
        <v>0</v>
      </c>
      <c r="W58" s="3"/>
      <c r="X58" s="3"/>
      <c r="Y58" s="3">
        <v>0</v>
      </c>
      <c r="Z58" s="3">
        <v>1</v>
      </c>
      <c r="AA58" s="1" t="s">
        <v>452</v>
      </c>
      <c r="AB58" s="1" t="s">
        <v>60</v>
      </c>
      <c r="AD58" s="1" t="s">
        <v>362</v>
      </c>
      <c r="AE58" s="1" t="s">
        <v>362</v>
      </c>
      <c r="AF58" s="3" t="s">
        <v>135</v>
      </c>
      <c r="AG58" s="3" t="s">
        <v>63</v>
      </c>
      <c r="AH58" s="1" t="s">
        <v>453</v>
      </c>
    </row>
    <row r="59" spans="1:36" s="1" customFormat="1" ht="14.45">
      <c r="A59" s="15" t="s">
        <v>723</v>
      </c>
      <c r="B59" s="1" t="s">
        <v>724</v>
      </c>
      <c r="C59" s="3"/>
      <c r="D59" s="1" t="s">
        <v>725</v>
      </c>
      <c r="E59" s="1" t="s">
        <v>726</v>
      </c>
      <c r="F59" s="3">
        <v>339984</v>
      </c>
      <c r="G59" s="3">
        <v>730005</v>
      </c>
      <c r="H59" s="4">
        <v>6.6701950001300499E-3</v>
      </c>
      <c r="I59" s="2">
        <v>46055</v>
      </c>
      <c r="J59" s="1" t="s">
        <v>53</v>
      </c>
      <c r="K59" s="1" t="s">
        <v>54</v>
      </c>
      <c r="M59" s="1" t="s">
        <v>727</v>
      </c>
      <c r="N59" s="2">
        <v>46055</v>
      </c>
      <c r="O59" s="1" t="s">
        <v>91</v>
      </c>
      <c r="P59" s="2"/>
      <c r="Q59" s="3">
        <v>1</v>
      </c>
      <c r="R59" s="3">
        <v>1</v>
      </c>
      <c r="S59" s="3">
        <v>0</v>
      </c>
      <c r="T59" s="3">
        <v>0</v>
      </c>
      <c r="W59" s="3"/>
      <c r="X59" s="3"/>
      <c r="Y59" s="3">
        <v>1</v>
      </c>
      <c r="Z59" s="3">
        <v>0</v>
      </c>
      <c r="AA59" s="1" t="s">
        <v>452</v>
      </c>
      <c r="AB59" s="1" t="s">
        <v>60</v>
      </c>
      <c r="AD59" s="1" t="s">
        <v>362</v>
      </c>
      <c r="AE59" s="1" t="s">
        <v>362</v>
      </c>
      <c r="AF59" s="3" t="s">
        <v>135</v>
      </c>
      <c r="AG59" s="3" t="s">
        <v>63</v>
      </c>
      <c r="AH59" s="1" t="s">
        <v>453</v>
      </c>
    </row>
    <row r="60" spans="1:36" s="1" customFormat="1" ht="29.1" customHeight="1">
      <c r="A60" s="15" t="s">
        <v>728</v>
      </c>
      <c r="B60" s="1" t="s">
        <v>503</v>
      </c>
      <c r="C60" s="3"/>
      <c r="D60" s="1" t="s">
        <v>729</v>
      </c>
      <c r="E60" s="1" t="s">
        <v>730</v>
      </c>
      <c r="F60" s="3">
        <v>344390</v>
      </c>
      <c r="G60" s="3">
        <v>731259</v>
      </c>
      <c r="H60" s="4">
        <v>0.14104519306468349</v>
      </c>
      <c r="I60" s="2">
        <v>46099</v>
      </c>
      <c r="K60" s="1" t="s">
        <v>54</v>
      </c>
      <c r="M60" s="1" t="s">
        <v>731</v>
      </c>
      <c r="N60" s="2">
        <v>46099</v>
      </c>
      <c r="O60" s="1" t="s">
        <v>91</v>
      </c>
      <c r="P60" s="2"/>
      <c r="Q60" s="3">
        <v>1</v>
      </c>
      <c r="R60" s="3">
        <v>1</v>
      </c>
      <c r="S60" s="3">
        <v>0</v>
      </c>
      <c r="T60" s="3">
        <v>0</v>
      </c>
      <c r="W60" s="3"/>
      <c r="X60" s="3"/>
      <c r="Y60" s="3">
        <v>0</v>
      </c>
      <c r="Z60" s="3">
        <v>1</v>
      </c>
      <c r="AA60" s="1" t="s">
        <v>452</v>
      </c>
      <c r="AB60" s="1" t="s">
        <v>60</v>
      </c>
      <c r="AD60" s="1" t="s">
        <v>362</v>
      </c>
      <c r="AE60" s="1" t="s">
        <v>362</v>
      </c>
      <c r="AF60" s="3" t="s">
        <v>135</v>
      </c>
      <c r="AG60" s="3"/>
    </row>
    <row r="61" spans="1:36" ht="15" customHeight="1">
      <c r="A61" s="15"/>
      <c r="B61" s="1"/>
      <c r="C61" s="3"/>
      <c r="D61" s="1"/>
      <c r="E61" s="1"/>
      <c r="F61" s="3"/>
      <c r="G61" s="3"/>
      <c r="H61" s="4"/>
      <c r="I61" s="2"/>
      <c r="J61" s="1"/>
      <c r="K61" s="1"/>
      <c r="L61" s="1"/>
      <c r="M61" s="1"/>
      <c r="N61" s="2"/>
      <c r="O61" s="1"/>
      <c r="P61" s="2"/>
      <c r="Q61" s="3">
        <f>SUBTOTAL(109,Table5[Site capacity])</f>
        <v>73</v>
      </c>
      <c r="R61" s="3">
        <f>SUBTOTAL(109,Table5[Units to build])</f>
        <v>72</v>
      </c>
      <c r="S61" s="3">
        <f>SUBTOTAL(109,Table5[Plots completed in survey year])</f>
        <v>0</v>
      </c>
      <c r="T61" s="3">
        <f>SUBTOTAL(109,Table5[Total completions])</f>
        <v>1</v>
      </c>
      <c r="U61" s="1"/>
      <c r="V61" s="1"/>
      <c r="W61" s="3">
        <f>SUBTOTAL(109,Table5[Number Market])</f>
        <v>55</v>
      </c>
      <c r="X61" s="3">
        <f>SUBTOTAL(109,Table5[Number Affordable])</f>
        <v>2</v>
      </c>
      <c r="Y61" s="3"/>
      <c r="Z61" s="3"/>
      <c r="AA61" s="1"/>
      <c r="AB61" s="1"/>
      <c r="AC61" s="1"/>
      <c r="AD61" s="1"/>
      <c r="AE61" s="1"/>
      <c r="AF61" s="3"/>
      <c r="AG61" s="3"/>
      <c r="AH61" s="1"/>
      <c r="AI61" s="1"/>
      <c r="AJ61" s="1"/>
    </row>
  </sheetData>
  <phoneticPr fontId="8" type="noConversion"/>
  <conditionalFormatting sqref="Q3:AJ60">
    <cfRule type="cellIs" dxfId="275" priority="2" operator="equal">
      <formula>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3B17D-CE3C-4847-AF02-8CA95FDA8A96}">
  <dimension ref="A1:AV12"/>
  <sheetViews>
    <sheetView workbookViewId="0">
      <pane xSplit="2" ySplit="2" topLeftCell="C3" activePane="bottomRight" state="frozen"/>
      <selection pane="bottomRight" activeCell="A5" sqref="A5"/>
      <selection pane="bottomLeft" activeCell="A3" sqref="A3"/>
      <selection pane="topRight" activeCell="C1" sqref="C1"/>
    </sheetView>
  </sheetViews>
  <sheetFormatPr defaultRowHeight="14.45"/>
  <cols>
    <col min="1" max="1" width="15.85546875" customWidth="1"/>
    <col min="2" max="2" width="22.7109375" customWidth="1"/>
    <col min="3" max="3" width="20.140625" customWidth="1"/>
    <col min="4" max="4" width="31.5703125" customWidth="1"/>
    <col min="5" max="5" width="14.42578125" customWidth="1"/>
    <col min="6" max="6" width="12.140625" bestFit="1" customWidth="1"/>
    <col min="7" max="7" width="13.85546875" bestFit="1" customWidth="1"/>
    <col min="8" max="8" width="15.28515625" customWidth="1"/>
    <col min="9" max="9" width="17.140625" customWidth="1"/>
    <col min="10" max="10" width="22.85546875" customWidth="1"/>
    <col min="11" max="11" width="17.42578125" customWidth="1"/>
    <col min="12" max="12" width="14.42578125" customWidth="1"/>
    <col min="13" max="13" width="17.42578125" customWidth="1"/>
    <col min="14" max="14" width="17.7109375" customWidth="1"/>
    <col min="15" max="15" width="16.85546875" customWidth="1"/>
    <col min="16" max="16" width="15.140625" customWidth="1"/>
    <col min="17" max="17" width="10.7109375" customWidth="1"/>
    <col min="18" max="18" width="13.140625" customWidth="1"/>
    <col min="19" max="19" width="16.7109375" customWidth="1"/>
    <col min="20" max="20" width="14.5703125" customWidth="1"/>
    <col min="21" max="32" width="13.5703125" customWidth="1"/>
    <col min="33" max="33" width="16.140625" customWidth="1"/>
    <col min="34" max="34" width="14" customWidth="1"/>
    <col min="35" max="35" width="12.5703125" customWidth="1"/>
    <col min="36" max="36" width="14.5703125" customWidth="1"/>
    <col min="37" max="37" width="8.140625" customWidth="1"/>
    <col min="38" max="38" width="9.42578125" customWidth="1"/>
    <col min="39" max="39" width="15.7109375" customWidth="1"/>
    <col min="40" max="40" width="21.7109375" customWidth="1"/>
    <col min="41" max="41" width="13.140625" customWidth="1"/>
    <col min="42" max="42" width="18.140625" customWidth="1"/>
    <col min="43" max="43" width="22.5703125" customWidth="1"/>
    <col min="44" max="44" width="15.28515625" customWidth="1"/>
    <col min="45" max="45" width="9.28515625" customWidth="1"/>
    <col min="46" max="46" width="7" customWidth="1"/>
    <col min="47" max="47" width="10" customWidth="1"/>
    <col min="48" max="48" width="25" customWidth="1"/>
  </cols>
  <sheetData>
    <row r="1" spans="1:48" ht="71.45" customHeight="1">
      <c r="A1" s="55" t="s">
        <v>732</v>
      </c>
    </row>
    <row r="2" spans="1:48" s="1" customFormat="1" ht="51" customHeight="1">
      <c r="A2" s="8" t="s">
        <v>1</v>
      </c>
      <c r="B2" s="9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10" t="s">
        <v>8</v>
      </c>
      <c r="I2" s="11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11" t="s">
        <v>14</v>
      </c>
      <c r="O2" s="9" t="s">
        <v>15</v>
      </c>
      <c r="P2" s="11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14" t="s">
        <v>733</v>
      </c>
      <c r="V2" s="12" t="s">
        <v>734</v>
      </c>
      <c r="W2" s="12" t="s">
        <v>735</v>
      </c>
      <c r="X2" s="12" t="s">
        <v>736</v>
      </c>
      <c r="Y2" s="12" t="s">
        <v>737</v>
      </c>
      <c r="Z2" s="12" t="s">
        <v>738</v>
      </c>
      <c r="AA2" s="12" t="s">
        <v>739</v>
      </c>
      <c r="AB2" s="12" t="s">
        <v>740</v>
      </c>
      <c r="AC2" s="12" t="s">
        <v>741</v>
      </c>
      <c r="AD2" s="12" t="s">
        <v>742</v>
      </c>
      <c r="AE2" s="12" t="s">
        <v>31</v>
      </c>
      <c r="AF2" s="13" t="s">
        <v>32</v>
      </c>
      <c r="AG2" s="9" t="s">
        <v>33</v>
      </c>
      <c r="AH2" s="9" t="s">
        <v>34</v>
      </c>
      <c r="AI2" s="8" t="s">
        <v>35</v>
      </c>
      <c r="AJ2" s="8" t="s">
        <v>36</v>
      </c>
      <c r="AK2" s="8" t="s">
        <v>37</v>
      </c>
      <c r="AL2" s="8" t="s">
        <v>38</v>
      </c>
      <c r="AM2" s="9" t="s">
        <v>39</v>
      </c>
      <c r="AN2" s="9" t="s">
        <v>40</v>
      </c>
      <c r="AO2" s="9" t="s">
        <v>41</v>
      </c>
      <c r="AP2" s="9" t="s">
        <v>42</v>
      </c>
      <c r="AQ2" s="9" t="s">
        <v>43</v>
      </c>
      <c r="AR2" s="8" t="s">
        <v>44</v>
      </c>
      <c r="AS2" s="8" t="s">
        <v>45</v>
      </c>
      <c r="AT2" s="9" t="s">
        <v>46</v>
      </c>
      <c r="AU2" s="9" t="s">
        <v>47</v>
      </c>
      <c r="AV2" s="9" t="s">
        <v>48</v>
      </c>
    </row>
    <row r="3" spans="1:48" s="1" customFormat="1" ht="24.6" customHeight="1">
      <c r="A3" s="15" t="s">
        <v>743</v>
      </c>
      <c r="B3" s="1" t="s">
        <v>744</v>
      </c>
      <c r="C3" s="3" t="s">
        <v>745</v>
      </c>
      <c r="D3" s="1" t="s">
        <v>746</v>
      </c>
      <c r="E3" s="1" t="s">
        <v>747</v>
      </c>
      <c r="F3" s="3">
        <v>339248</v>
      </c>
      <c r="G3" s="3">
        <v>730423</v>
      </c>
      <c r="H3" s="4">
        <v>1.2497800082359809</v>
      </c>
      <c r="I3" s="2">
        <v>37712</v>
      </c>
      <c r="J3" s="1" t="s">
        <v>88</v>
      </c>
      <c r="K3" s="1" t="s">
        <v>119</v>
      </c>
      <c r="N3" s="2"/>
      <c r="O3" s="1" t="s">
        <v>91</v>
      </c>
      <c r="P3" s="2"/>
      <c r="Q3" s="3">
        <v>50</v>
      </c>
      <c r="R3" s="3">
        <v>50</v>
      </c>
      <c r="S3" s="3">
        <v>0</v>
      </c>
      <c r="T3" s="3">
        <v>0</v>
      </c>
      <c r="U3" s="5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7">
        <f>SUM(Table4[[#This Row],[Programmed Y1]:[Later Years]])</f>
        <v>0</v>
      </c>
      <c r="AG3" s="1" t="s">
        <v>211</v>
      </c>
      <c r="AH3" s="1" t="s">
        <v>58</v>
      </c>
      <c r="AI3" s="3">
        <v>50</v>
      </c>
      <c r="AJ3" s="3">
        <v>0</v>
      </c>
      <c r="AK3" s="3">
        <v>0</v>
      </c>
      <c r="AL3" s="3">
        <v>50</v>
      </c>
      <c r="AM3" s="1" t="s">
        <v>732</v>
      </c>
      <c r="AN3" s="1" t="s">
        <v>732</v>
      </c>
      <c r="AP3" s="1" t="s">
        <v>362</v>
      </c>
      <c r="AQ3" s="1" t="s">
        <v>362</v>
      </c>
      <c r="AR3" s="3" t="s">
        <v>135</v>
      </c>
      <c r="AS3" s="3" t="s">
        <v>136</v>
      </c>
      <c r="AT3" s="1" t="s">
        <v>63</v>
      </c>
    </row>
    <row r="4" spans="1:48" s="1" customFormat="1" ht="23.45" customHeight="1">
      <c r="A4" s="15" t="s">
        <v>748</v>
      </c>
      <c r="B4" s="1" t="s">
        <v>173</v>
      </c>
      <c r="C4" s="3" t="s">
        <v>749</v>
      </c>
      <c r="D4" s="1" t="s">
        <v>173</v>
      </c>
      <c r="E4" s="1" t="s">
        <v>750</v>
      </c>
      <c r="F4" s="3">
        <v>343118</v>
      </c>
      <c r="G4" s="3">
        <v>733510</v>
      </c>
      <c r="H4" s="4">
        <v>0.83452929051428071</v>
      </c>
      <c r="I4" s="2">
        <v>37712</v>
      </c>
      <c r="J4" s="1" t="s">
        <v>88</v>
      </c>
      <c r="K4" s="1" t="s">
        <v>119</v>
      </c>
      <c r="L4" s="1" t="s">
        <v>68</v>
      </c>
      <c r="N4" s="2"/>
      <c r="O4" s="1" t="s">
        <v>91</v>
      </c>
      <c r="P4" s="2"/>
      <c r="Q4" s="3">
        <v>15</v>
      </c>
      <c r="R4" s="3">
        <v>15</v>
      </c>
      <c r="S4" s="3">
        <v>0</v>
      </c>
      <c r="T4" s="3">
        <v>0</v>
      </c>
      <c r="U4" s="5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7">
        <f>SUM(Table4[[#This Row],[Programmed Y1]:[Later Years]])</f>
        <v>0</v>
      </c>
      <c r="AH4" s="1" t="s">
        <v>202</v>
      </c>
      <c r="AI4" s="3">
        <v>0</v>
      </c>
      <c r="AJ4" s="3">
        <v>15</v>
      </c>
      <c r="AK4" s="3">
        <v>0</v>
      </c>
      <c r="AL4" s="3">
        <v>0</v>
      </c>
      <c r="AM4" s="1" t="s">
        <v>732</v>
      </c>
      <c r="AN4" s="1" t="s">
        <v>732</v>
      </c>
      <c r="AR4" s="3" t="s">
        <v>135</v>
      </c>
      <c r="AS4" s="3" t="s">
        <v>136</v>
      </c>
      <c r="AT4" s="1" t="s">
        <v>63</v>
      </c>
    </row>
    <row r="5" spans="1:48" s="1" customFormat="1">
      <c r="A5" s="15" t="s">
        <v>751</v>
      </c>
      <c r="B5" s="1" t="s">
        <v>473</v>
      </c>
      <c r="C5" s="3" t="s">
        <v>752</v>
      </c>
      <c r="D5" s="1" t="s">
        <v>473</v>
      </c>
      <c r="E5" s="1" t="s">
        <v>753</v>
      </c>
      <c r="F5" s="3">
        <v>340941</v>
      </c>
      <c r="G5" s="3">
        <v>730852</v>
      </c>
      <c r="H5" s="4">
        <v>0.25971538800340221</v>
      </c>
      <c r="I5" s="2">
        <v>39173</v>
      </c>
      <c r="J5" s="1" t="s">
        <v>88</v>
      </c>
      <c r="K5" s="1" t="s">
        <v>119</v>
      </c>
      <c r="L5" s="1" t="s">
        <v>186</v>
      </c>
      <c r="M5" s="1" t="s">
        <v>754</v>
      </c>
      <c r="N5" s="2"/>
      <c r="O5" s="1" t="s">
        <v>91</v>
      </c>
      <c r="P5" s="2"/>
      <c r="Q5" s="3">
        <v>20</v>
      </c>
      <c r="R5" s="3">
        <v>20</v>
      </c>
      <c r="S5" s="3">
        <v>0</v>
      </c>
      <c r="T5" s="3">
        <v>0</v>
      </c>
      <c r="U5" s="5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7">
        <f>SUM(Table4[[#This Row],[Programmed Y1]:[Later Years]])</f>
        <v>0</v>
      </c>
      <c r="AG5" s="1" t="s">
        <v>211</v>
      </c>
      <c r="AH5" s="1" t="s">
        <v>58</v>
      </c>
      <c r="AI5" s="3">
        <v>20</v>
      </c>
      <c r="AJ5" s="3">
        <v>0</v>
      </c>
      <c r="AK5" s="3">
        <v>0</v>
      </c>
      <c r="AL5" s="3">
        <v>0</v>
      </c>
      <c r="AM5" s="1" t="s">
        <v>732</v>
      </c>
      <c r="AN5" s="1" t="s">
        <v>732</v>
      </c>
      <c r="AP5" s="1" t="s">
        <v>169</v>
      </c>
      <c r="AR5" s="3" t="s">
        <v>135</v>
      </c>
      <c r="AS5" s="3" t="s">
        <v>63</v>
      </c>
      <c r="AT5" s="1" t="s">
        <v>63</v>
      </c>
    </row>
    <row r="6" spans="1:48" s="1" customFormat="1">
      <c r="A6" s="15" t="s">
        <v>755</v>
      </c>
      <c r="B6" s="1" t="s">
        <v>756</v>
      </c>
      <c r="C6" s="3" t="s">
        <v>757</v>
      </c>
      <c r="D6" s="1" t="s">
        <v>758</v>
      </c>
      <c r="E6" s="1" t="s">
        <v>759</v>
      </c>
      <c r="F6" s="3">
        <v>337130</v>
      </c>
      <c r="G6" s="3">
        <v>732089</v>
      </c>
      <c r="H6" s="4">
        <v>0.44319051000217607</v>
      </c>
      <c r="I6" s="2">
        <v>39539</v>
      </c>
      <c r="J6" s="1" t="s">
        <v>88</v>
      </c>
      <c r="K6" s="1" t="s">
        <v>119</v>
      </c>
      <c r="L6" s="1" t="s">
        <v>68</v>
      </c>
      <c r="N6" s="2"/>
      <c r="O6" s="1" t="s">
        <v>91</v>
      </c>
      <c r="P6" s="2"/>
      <c r="Q6" s="3">
        <v>18</v>
      </c>
      <c r="R6" s="3">
        <v>0</v>
      </c>
      <c r="S6" s="3">
        <v>0</v>
      </c>
      <c r="T6" s="3">
        <v>0</v>
      </c>
      <c r="U6" s="5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7">
        <f>SUM(Table4[[#This Row],[Programmed Y1]:[Later Years]])</f>
        <v>0</v>
      </c>
      <c r="AH6" s="1" t="s">
        <v>58</v>
      </c>
      <c r="AI6" s="3">
        <v>18</v>
      </c>
      <c r="AJ6" s="3">
        <v>0</v>
      </c>
      <c r="AK6" s="3">
        <v>0</v>
      </c>
      <c r="AL6" s="3">
        <v>0</v>
      </c>
      <c r="AM6" s="1" t="s">
        <v>732</v>
      </c>
      <c r="AN6" s="1" t="s">
        <v>732</v>
      </c>
      <c r="AR6" s="3" t="s">
        <v>135</v>
      </c>
      <c r="AS6" s="3" t="s">
        <v>136</v>
      </c>
      <c r="AT6" s="1" t="s">
        <v>63</v>
      </c>
    </row>
    <row r="7" spans="1:48" s="1" customFormat="1" ht="72.599999999999994">
      <c r="A7" s="15" t="s">
        <v>760</v>
      </c>
      <c r="B7" s="22" t="s">
        <v>761</v>
      </c>
      <c r="C7" s="23"/>
      <c r="D7" s="22" t="s">
        <v>762</v>
      </c>
      <c r="E7" s="22" t="s">
        <v>763</v>
      </c>
      <c r="F7" s="23">
        <v>340858</v>
      </c>
      <c r="G7" s="23">
        <v>731298</v>
      </c>
      <c r="H7" s="24">
        <v>7.576950500028895E-2</v>
      </c>
      <c r="I7" s="25">
        <v>40533</v>
      </c>
      <c r="J7" s="22" t="s">
        <v>53</v>
      </c>
      <c r="K7" s="22" t="s">
        <v>54</v>
      </c>
      <c r="L7" s="22"/>
      <c r="M7" s="22" t="s">
        <v>764</v>
      </c>
      <c r="N7" s="25">
        <v>45106</v>
      </c>
      <c r="O7" s="22" t="s">
        <v>91</v>
      </c>
      <c r="P7" s="25"/>
      <c r="Q7" s="23">
        <v>8</v>
      </c>
      <c r="R7" s="23">
        <v>8</v>
      </c>
      <c r="S7" s="23">
        <v>0</v>
      </c>
      <c r="T7" s="23">
        <v>0</v>
      </c>
      <c r="U7" s="6">
        <v>0</v>
      </c>
      <c r="V7" s="6">
        <v>0</v>
      </c>
      <c r="W7" s="6">
        <v>0</v>
      </c>
      <c r="X7" s="6">
        <v>0</v>
      </c>
      <c r="Y7" s="50">
        <v>8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7">
        <f>SUM(Table4[[#This Row],[Programmed Y1]:[Later Years]])</f>
        <v>8</v>
      </c>
      <c r="AG7" s="22" t="s">
        <v>70</v>
      </c>
      <c r="AH7" s="22" t="s">
        <v>58</v>
      </c>
      <c r="AI7" s="23">
        <v>8</v>
      </c>
      <c r="AJ7" s="23">
        <v>0</v>
      </c>
      <c r="AK7" s="23">
        <v>8</v>
      </c>
      <c r="AL7" s="23">
        <v>0</v>
      </c>
      <c r="AM7" s="22" t="s">
        <v>732</v>
      </c>
      <c r="AN7" s="22" t="s">
        <v>168</v>
      </c>
      <c r="AO7" s="22" t="s">
        <v>312</v>
      </c>
      <c r="AP7" s="22" t="s">
        <v>765</v>
      </c>
      <c r="AQ7" s="22"/>
      <c r="AR7" s="23" t="s">
        <v>135</v>
      </c>
      <c r="AS7" s="23" t="s">
        <v>63</v>
      </c>
      <c r="AT7" s="22" t="s">
        <v>63</v>
      </c>
      <c r="AU7" s="22"/>
      <c r="AV7" s="22" t="s">
        <v>766</v>
      </c>
    </row>
    <row r="8" spans="1:48" s="1" customFormat="1">
      <c r="A8" s="15" t="s">
        <v>767</v>
      </c>
      <c r="B8" s="1" t="s">
        <v>768</v>
      </c>
      <c r="C8" s="3" t="s">
        <v>769</v>
      </c>
      <c r="D8" s="1" t="s">
        <v>770</v>
      </c>
      <c r="E8" s="1" t="s">
        <v>771</v>
      </c>
      <c r="F8" s="3">
        <v>336292</v>
      </c>
      <c r="G8" s="3">
        <v>730903</v>
      </c>
      <c r="H8" s="4">
        <v>0.56489413689997225</v>
      </c>
      <c r="I8" s="2">
        <v>41000</v>
      </c>
      <c r="J8" s="1" t="s">
        <v>88</v>
      </c>
      <c r="K8" s="1" t="s">
        <v>119</v>
      </c>
      <c r="L8" s="1" t="s">
        <v>68</v>
      </c>
      <c r="N8" s="2"/>
      <c r="O8" s="1" t="s">
        <v>91</v>
      </c>
      <c r="P8" s="2"/>
      <c r="Q8" s="3">
        <v>20</v>
      </c>
      <c r="R8" s="3">
        <v>20</v>
      </c>
      <c r="S8" s="3">
        <v>0</v>
      </c>
      <c r="T8" s="3">
        <v>0</v>
      </c>
      <c r="U8" s="5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7">
        <f>SUM(Table4[[#This Row],[Programmed Y1]:[Later Years]])</f>
        <v>0</v>
      </c>
      <c r="AG8" s="1" t="s">
        <v>211</v>
      </c>
      <c r="AH8" s="1" t="s">
        <v>58</v>
      </c>
      <c r="AI8" s="3">
        <v>20</v>
      </c>
      <c r="AJ8" s="3">
        <v>0</v>
      </c>
      <c r="AK8" s="3">
        <v>0</v>
      </c>
      <c r="AL8" s="3">
        <v>0</v>
      </c>
      <c r="AM8" s="1" t="s">
        <v>732</v>
      </c>
      <c r="AN8" s="1" t="s">
        <v>732</v>
      </c>
      <c r="AP8" s="1" t="s">
        <v>169</v>
      </c>
      <c r="AR8" s="3" t="s">
        <v>135</v>
      </c>
      <c r="AS8" s="3" t="s">
        <v>63</v>
      </c>
      <c r="AT8" s="1" t="s">
        <v>63</v>
      </c>
    </row>
    <row r="9" spans="1:48" s="1" customFormat="1">
      <c r="A9" s="15" t="s">
        <v>772</v>
      </c>
      <c r="B9" s="1" t="s">
        <v>773</v>
      </c>
      <c r="C9" s="3" t="s">
        <v>774</v>
      </c>
      <c r="D9" s="1" t="s">
        <v>775</v>
      </c>
      <c r="E9" s="1" t="s">
        <v>776</v>
      </c>
      <c r="F9" s="3">
        <v>340911</v>
      </c>
      <c r="G9" s="3">
        <v>733631</v>
      </c>
      <c r="H9" s="4">
        <v>0.41142045782077158</v>
      </c>
      <c r="I9" s="2">
        <v>41000</v>
      </c>
      <c r="J9" s="1" t="s">
        <v>88</v>
      </c>
      <c r="K9" s="1" t="s">
        <v>119</v>
      </c>
      <c r="L9" s="1" t="s">
        <v>68</v>
      </c>
      <c r="N9" s="2"/>
      <c r="O9" s="1" t="s">
        <v>91</v>
      </c>
      <c r="P9" s="2"/>
      <c r="Q9" s="3">
        <v>12</v>
      </c>
      <c r="R9" s="3">
        <v>12</v>
      </c>
      <c r="S9" s="3">
        <v>0</v>
      </c>
      <c r="T9" s="3">
        <v>0</v>
      </c>
      <c r="U9" s="5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7">
        <f>SUM(Table4[[#This Row],[Programmed Y1]:[Later Years]])</f>
        <v>0</v>
      </c>
      <c r="AH9" s="1" t="s">
        <v>58</v>
      </c>
      <c r="AI9" s="3">
        <v>12</v>
      </c>
      <c r="AJ9" s="3">
        <v>0</v>
      </c>
      <c r="AK9" s="3">
        <v>0</v>
      </c>
      <c r="AL9" s="3">
        <v>0</v>
      </c>
      <c r="AM9" s="1" t="s">
        <v>732</v>
      </c>
      <c r="AN9" s="1" t="s">
        <v>732</v>
      </c>
      <c r="AR9" s="3" t="s">
        <v>135</v>
      </c>
      <c r="AS9" s="3" t="s">
        <v>63</v>
      </c>
      <c r="AT9" s="1" t="s">
        <v>63</v>
      </c>
    </row>
    <row r="10" spans="1:48" s="1" customFormat="1" ht="29.1">
      <c r="A10" s="15" t="s">
        <v>777</v>
      </c>
      <c r="B10" s="1" t="s">
        <v>778</v>
      </c>
      <c r="C10" s="3" t="s">
        <v>779</v>
      </c>
      <c r="D10" s="1" t="s">
        <v>780</v>
      </c>
      <c r="E10" s="1" t="s">
        <v>781</v>
      </c>
      <c r="F10" s="3">
        <v>336967</v>
      </c>
      <c r="G10" s="3">
        <v>734365</v>
      </c>
      <c r="H10" s="4">
        <v>3.4020984525096298</v>
      </c>
      <c r="I10" s="2">
        <v>41730</v>
      </c>
      <c r="J10" s="1" t="s">
        <v>88</v>
      </c>
      <c r="K10" s="1" t="s">
        <v>119</v>
      </c>
      <c r="L10" s="1" t="s">
        <v>68</v>
      </c>
      <c r="N10" s="2"/>
      <c r="O10" s="1" t="s">
        <v>91</v>
      </c>
      <c r="P10" s="2"/>
      <c r="Q10" s="3">
        <v>60</v>
      </c>
      <c r="R10" s="3">
        <v>60</v>
      </c>
      <c r="S10" s="3">
        <v>0</v>
      </c>
      <c r="T10" s="3">
        <v>0</v>
      </c>
      <c r="U10" s="5">
        <v>0</v>
      </c>
      <c r="V10" s="6">
        <v>0</v>
      </c>
      <c r="W10" s="6">
        <v>20</v>
      </c>
      <c r="X10" s="6">
        <v>20</v>
      </c>
      <c r="Y10" s="6">
        <v>20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7">
        <f>SUM(Table4[[#This Row],[Programmed Y1]:[Later Years]])</f>
        <v>60</v>
      </c>
      <c r="AG10" s="1" t="s">
        <v>70</v>
      </c>
      <c r="AH10" s="1" t="s">
        <v>58</v>
      </c>
      <c r="AI10" s="3">
        <v>60</v>
      </c>
      <c r="AJ10" s="3">
        <v>0</v>
      </c>
      <c r="AK10" s="3">
        <v>0</v>
      </c>
      <c r="AL10" s="3">
        <v>0</v>
      </c>
      <c r="AM10" s="1" t="s">
        <v>732</v>
      </c>
      <c r="AN10" s="1" t="s">
        <v>732</v>
      </c>
      <c r="AP10" s="1" t="s">
        <v>782</v>
      </c>
      <c r="AR10" s="3" t="s">
        <v>135</v>
      </c>
      <c r="AS10" s="3" t="s">
        <v>63</v>
      </c>
      <c r="AT10" s="1" t="s">
        <v>63</v>
      </c>
    </row>
    <row r="11" spans="1:48" s="1" customFormat="1" ht="29.1">
      <c r="A11" s="15" t="s">
        <v>783</v>
      </c>
      <c r="B11" s="1" t="s">
        <v>784</v>
      </c>
      <c r="C11" s="3" t="s">
        <v>785</v>
      </c>
      <c r="D11" s="1" t="s">
        <v>786</v>
      </c>
      <c r="E11" s="1" t="s">
        <v>787</v>
      </c>
      <c r="F11" s="3">
        <v>347040</v>
      </c>
      <c r="G11" s="3">
        <v>732767</v>
      </c>
      <c r="H11" s="4">
        <v>1.571273213459403</v>
      </c>
      <c r="I11" s="2">
        <v>41730</v>
      </c>
      <c r="J11" s="1" t="s">
        <v>88</v>
      </c>
      <c r="K11" s="1" t="s">
        <v>119</v>
      </c>
      <c r="L11" s="1" t="s">
        <v>68</v>
      </c>
      <c r="N11" s="2"/>
      <c r="O11" s="1" t="s">
        <v>91</v>
      </c>
      <c r="P11" s="2"/>
      <c r="Q11" s="3">
        <v>26</v>
      </c>
      <c r="R11" s="3">
        <v>26</v>
      </c>
      <c r="S11" s="3">
        <v>0</v>
      </c>
      <c r="T11" s="3">
        <v>0</v>
      </c>
      <c r="U11" s="5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7">
        <f>SUM(Table4[[#This Row],[Programmed Y1]:[Later Years]])</f>
        <v>0</v>
      </c>
      <c r="AH11" s="1" t="s">
        <v>58</v>
      </c>
      <c r="AI11" s="3">
        <v>26</v>
      </c>
      <c r="AJ11" s="3">
        <v>0</v>
      </c>
      <c r="AK11" s="3">
        <v>0</v>
      </c>
      <c r="AL11" s="3">
        <v>0</v>
      </c>
      <c r="AM11" s="1" t="s">
        <v>732</v>
      </c>
      <c r="AN11" s="1" t="s">
        <v>732</v>
      </c>
      <c r="AP11" s="1" t="s">
        <v>362</v>
      </c>
      <c r="AQ11" s="1" t="s">
        <v>362</v>
      </c>
      <c r="AR11" s="3" t="s">
        <v>62</v>
      </c>
      <c r="AS11" s="3" t="s">
        <v>63</v>
      </c>
      <c r="AT11" s="1" t="s">
        <v>63</v>
      </c>
    </row>
    <row r="12" spans="1:48" ht="29.1">
      <c r="A12" s="15" t="s">
        <v>788</v>
      </c>
      <c r="B12" s="1" t="s">
        <v>789</v>
      </c>
      <c r="C12" s="3"/>
      <c r="D12" s="1" t="s">
        <v>790</v>
      </c>
      <c r="E12" s="1" t="s">
        <v>791</v>
      </c>
      <c r="F12" s="3">
        <v>346406</v>
      </c>
      <c r="G12" s="3">
        <v>732975</v>
      </c>
      <c r="H12" s="4">
        <v>1.5241813993756561</v>
      </c>
      <c r="I12" s="2">
        <v>42095</v>
      </c>
      <c r="J12" s="1" t="s">
        <v>53</v>
      </c>
      <c r="K12" s="1" t="s">
        <v>54</v>
      </c>
      <c r="L12" s="1" t="s">
        <v>68</v>
      </c>
      <c r="M12" s="1" t="s">
        <v>792</v>
      </c>
      <c r="N12" s="2">
        <v>41114</v>
      </c>
      <c r="O12" s="1" t="s">
        <v>56</v>
      </c>
      <c r="P12" s="2">
        <v>41512</v>
      </c>
      <c r="Q12" s="3">
        <v>60</v>
      </c>
      <c r="R12" s="3">
        <v>42</v>
      </c>
      <c r="S12" s="3">
        <v>0</v>
      </c>
      <c r="T12" s="3">
        <v>18</v>
      </c>
      <c r="U12" s="5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7">
        <f>SUM(Table4[[#This Row],[Programmed Y1]:[Later Years]])</f>
        <v>0</v>
      </c>
      <c r="AG12" s="1" t="s">
        <v>211</v>
      </c>
      <c r="AH12" s="1" t="s">
        <v>58</v>
      </c>
      <c r="AI12" s="3">
        <v>42</v>
      </c>
      <c r="AJ12" s="3">
        <v>0</v>
      </c>
      <c r="AK12" s="3">
        <v>0</v>
      </c>
      <c r="AL12" s="3">
        <v>0</v>
      </c>
      <c r="AM12" s="1" t="s">
        <v>732</v>
      </c>
      <c r="AN12" s="1" t="s">
        <v>732</v>
      </c>
      <c r="AO12" s="1"/>
      <c r="AP12" s="1" t="s">
        <v>362</v>
      </c>
      <c r="AQ12" s="1" t="s">
        <v>362</v>
      </c>
      <c r="AR12" s="3" t="s">
        <v>62</v>
      </c>
      <c r="AS12" s="3" t="s">
        <v>63</v>
      </c>
      <c r="AT12" s="1" t="s">
        <v>63</v>
      </c>
      <c r="AU12" s="1"/>
      <c r="AV12" s="1"/>
    </row>
  </sheetData>
  <conditionalFormatting sqref="Q4:AE12 AG4:AV12">
    <cfRule type="cellIs" dxfId="200" priority="1" operator="equal">
      <formula>0</formula>
    </cfRule>
  </conditionalFormatting>
  <conditionalFormatting sqref="Q3:AV3 AF4:AF12">
    <cfRule type="cellIs" dxfId="199" priority="2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84060-A18D-4307-9A04-9399B99DCD6C}">
  <dimension ref="A1:AV30"/>
  <sheetViews>
    <sheetView tabSelected="1" workbookViewId="0">
      <pane xSplit="2" ySplit="2" topLeftCell="C11" activePane="bottomRight" state="frozen"/>
      <selection pane="bottomRight" activeCell="AX17" sqref="AX17"/>
      <selection pane="bottomLeft" activeCell="A3" sqref="A3"/>
      <selection pane="topRight" activeCell="C1" sqref="C1"/>
    </sheetView>
  </sheetViews>
  <sheetFormatPr defaultRowHeight="15" customHeight="1"/>
  <cols>
    <col min="1" max="1" width="15.85546875" customWidth="1"/>
    <col min="2" max="2" width="22.140625" customWidth="1"/>
    <col min="3" max="3" width="20.140625" customWidth="1"/>
    <col min="4" max="4" width="37" customWidth="1"/>
    <col min="5" max="5" width="12.85546875" bestFit="1" customWidth="1"/>
    <col min="6" max="6" width="12.140625" bestFit="1" customWidth="1"/>
    <col min="7" max="7" width="13.85546875" bestFit="1" customWidth="1"/>
    <col min="8" max="8" width="15.28515625" customWidth="1"/>
    <col min="9" max="9" width="17.140625" customWidth="1"/>
    <col min="10" max="10" width="22.85546875" customWidth="1"/>
    <col min="11" max="11" width="17.42578125" customWidth="1"/>
    <col min="12" max="12" width="14.42578125" customWidth="1"/>
    <col min="13" max="13" width="31.5703125" customWidth="1"/>
    <col min="14" max="14" width="28.85546875" customWidth="1"/>
    <col min="15" max="15" width="28" customWidth="1"/>
    <col min="16" max="16" width="31.5703125" customWidth="1"/>
    <col min="17" max="17" width="26.140625" customWidth="1"/>
    <col min="18" max="18" width="22" customWidth="1"/>
    <col min="19" max="19" width="22.5703125" customWidth="1"/>
    <col min="20" max="20" width="21.28515625" customWidth="1"/>
    <col min="21" max="21" width="25" customWidth="1"/>
    <col min="22" max="22" width="14.7109375" customWidth="1"/>
    <col min="23" max="23" width="15.5703125" customWidth="1"/>
    <col min="24" max="24" width="31.5703125" customWidth="1"/>
    <col min="25" max="25" width="19.5703125" customWidth="1"/>
    <col min="26" max="34" width="17.7109375" hidden="1" customWidth="1"/>
    <col min="35" max="35" width="18.85546875" hidden="1" customWidth="1"/>
    <col min="36" max="36" width="13.5703125" hidden="1" customWidth="1"/>
    <col min="37" max="37" width="20.42578125" hidden="1" customWidth="1"/>
    <col min="38" max="38" width="20.85546875" customWidth="1"/>
    <col min="39" max="39" width="28.42578125" customWidth="1"/>
    <col min="40" max="40" width="17.85546875" customWidth="1"/>
    <col min="41" max="41" width="21" customWidth="1"/>
    <col min="42" max="42" width="12.5703125" customWidth="1"/>
    <col min="43" max="43" width="15" customWidth="1"/>
    <col min="44" max="44" width="30.140625" customWidth="1"/>
    <col min="45" max="45" width="21.7109375" customWidth="1"/>
    <col min="46" max="46" width="18" customWidth="1"/>
    <col min="47" max="47" width="24" customWidth="1"/>
    <col min="48" max="49" width="24.28515625" customWidth="1"/>
    <col min="50" max="50" width="10.5703125" customWidth="1"/>
    <col min="51" max="51" width="11.5703125" customWidth="1"/>
    <col min="52" max="52" width="10" customWidth="1"/>
    <col min="53" max="53" width="25" customWidth="1"/>
    <col min="54" max="54" width="50.85546875" customWidth="1"/>
  </cols>
  <sheetData>
    <row r="1" spans="1:48" ht="44.1" customHeight="1">
      <c r="A1" s="55" t="s">
        <v>793</v>
      </c>
    </row>
    <row r="2" spans="1:48" s="1" customFormat="1" ht="57.6" customHeight="1">
      <c r="A2" s="16" t="s">
        <v>1</v>
      </c>
      <c r="B2" s="17" t="s">
        <v>2</v>
      </c>
      <c r="C2" s="16" t="s">
        <v>3</v>
      </c>
      <c r="D2" s="17" t="s">
        <v>4</v>
      </c>
      <c r="E2" s="17" t="s">
        <v>5</v>
      </c>
      <c r="F2" s="16" t="s">
        <v>6</v>
      </c>
      <c r="G2" s="16" t="s">
        <v>7</v>
      </c>
      <c r="H2" s="18" t="s">
        <v>8</v>
      </c>
      <c r="I2" s="19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9" t="s">
        <v>14</v>
      </c>
      <c r="O2" s="17" t="s">
        <v>15</v>
      </c>
      <c r="P2" s="19" t="s">
        <v>16</v>
      </c>
      <c r="Q2" s="16" t="s">
        <v>17</v>
      </c>
      <c r="R2" s="16" t="s">
        <v>18</v>
      </c>
      <c r="S2" s="16" t="s">
        <v>19</v>
      </c>
      <c r="T2" s="16" t="s">
        <v>20</v>
      </c>
      <c r="U2" s="16" t="s">
        <v>733</v>
      </c>
      <c r="V2" s="16" t="s">
        <v>734</v>
      </c>
      <c r="W2" s="16" t="s">
        <v>735</v>
      </c>
      <c r="X2" s="16" t="s">
        <v>736</v>
      </c>
      <c r="Y2" s="16" t="s">
        <v>737</v>
      </c>
      <c r="Z2" s="16" t="s">
        <v>738</v>
      </c>
      <c r="AA2" s="16" t="s">
        <v>739</v>
      </c>
      <c r="AB2" s="16" t="s">
        <v>740</v>
      </c>
      <c r="AC2" s="16" t="s">
        <v>741</v>
      </c>
      <c r="AD2" s="16" t="s">
        <v>742</v>
      </c>
      <c r="AE2" s="16" t="s">
        <v>31</v>
      </c>
      <c r="AF2" s="16" t="s">
        <v>32</v>
      </c>
      <c r="AG2" s="17" t="s">
        <v>33</v>
      </c>
      <c r="AH2" s="17" t="s">
        <v>34</v>
      </c>
      <c r="AI2" s="16" t="s">
        <v>35</v>
      </c>
      <c r="AJ2" s="16" t="s">
        <v>36</v>
      </c>
      <c r="AK2" s="16" t="s">
        <v>37</v>
      </c>
      <c r="AL2" s="16" t="s">
        <v>38</v>
      </c>
      <c r="AM2" s="17" t="s">
        <v>39</v>
      </c>
      <c r="AN2" s="17" t="s">
        <v>40</v>
      </c>
      <c r="AO2" s="17" t="s">
        <v>41</v>
      </c>
      <c r="AP2" s="17" t="s">
        <v>42</v>
      </c>
      <c r="AQ2" s="17" t="s">
        <v>43</v>
      </c>
      <c r="AR2" s="16" t="s">
        <v>44</v>
      </c>
      <c r="AS2" s="16" t="s">
        <v>45</v>
      </c>
      <c r="AT2" s="17" t="s">
        <v>46</v>
      </c>
      <c r="AU2" s="17" t="s">
        <v>47</v>
      </c>
      <c r="AV2" s="17" t="s">
        <v>48</v>
      </c>
    </row>
    <row r="3" spans="1:48" s="1" customFormat="1" ht="43.5">
      <c r="A3" s="15" t="s">
        <v>794</v>
      </c>
      <c r="B3" s="1" t="s">
        <v>431</v>
      </c>
      <c r="C3" s="3"/>
      <c r="D3" s="1" t="s">
        <v>795</v>
      </c>
      <c r="E3" s="1" t="s">
        <v>796</v>
      </c>
      <c r="F3" s="3">
        <v>340548</v>
      </c>
      <c r="G3" s="3">
        <v>730518</v>
      </c>
      <c r="H3" s="4">
        <v>3.5264120001813053E-2</v>
      </c>
      <c r="I3" s="2">
        <v>40634</v>
      </c>
      <c r="J3" s="1" t="s">
        <v>53</v>
      </c>
      <c r="K3" s="1" t="s">
        <v>54</v>
      </c>
      <c r="L3" s="1" t="s">
        <v>68</v>
      </c>
      <c r="M3" s="1" t="s">
        <v>797</v>
      </c>
      <c r="N3" s="2">
        <v>42968</v>
      </c>
      <c r="O3" s="1" t="s">
        <v>56</v>
      </c>
      <c r="P3" s="2">
        <v>43275</v>
      </c>
      <c r="Q3" s="3">
        <v>28</v>
      </c>
      <c r="R3" s="3">
        <v>0</v>
      </c>
      <c r="S3" s="3">
        <v>28</v>
      </c>
      <c r="T3" s="3">
        <v>28</v>
      </c>
      <c r="U3" s="26">
        <v>28</v>
      </c>
      <c r="V3" s="26">
        <v>0</v>
      </c>
      <c r="W3" s="26">
        <v>0</v>
      </c>
      <c r="X3" s="26">
        <v>0</v>
      </c>
      <c r="Y3" s="26">
        <v>0</v>
      </c>
      <c r="Z3" s="26">
        <v>0</v>
      </c>
      <c r="AA3" s="26">
        <v>0</v>
      </c>
      <c r="AB3" s="26">
        <v>0</v>
      </c>
      <c r="AC3" s="26">
        <v>0</v>
      </c>
      <c r="AD3" s="26">
        <v>0</v>
      </c>
      <c r="AE3" s="26">
        <v>0</v>
      </c>
      <c r="AF3" s="26">
        <f>SUM(Table2[[#This Row],[Programmed Y1]:[Later Years]])</f>
        <v>28</v>
      </c>
      <c r="AG3" s="1" t="s">
        <v>57</v>
      </c>
      <c r="AH3" s="1" t="s">
        <v>202</v>
      </c>
      <c r="AI3" s="3">
        <v>0</v>
      </c>
      <c r="AJ3" s="3">
        <v>28</v>
      </c>
      <c r="AK3" s="3">
        <v>28</v>
      </c>
      <c r="AL3" s="3">
        <v>0</v>
      </c>
      <c r="AM3" s="1" t="s">
        <v>59</v>
      </c>
      <c r="AN3" s="1" t="s">
        <v>798</v>
      </c>
      <c r="AP3" s="1" t="s">
        <v>799</v>
      </c>
      <c r="AQ3" s="1" t="s">
        <v>224</v>
      </c>
      <c r="AR3" s="3" t="s">
        <v>135</v>
      </c>
      <c r="AS3" s="3" t="s">
        <v>63</v>
      </c>
      <c r="AT3" s="1" t="s">
        <v>63</v>
      </c>
      <c r="AV3" s="1" t="s">
        <v>800</v>
      </c>
    </row>
    <row r="4" spans="1:48" s="1" customFormat="1" ht="29.1">
      <c r="A4" s="15" t="s">
        <v>801</v>
      </c>
      <c r="B4" s="1" t="s">
        <v>802</v>
      </c>
      <c r="C4" s="3" t="s">
        <v>803</v>
      </c>
      <c r="D4" s="1" t="s">
        <v>804</v>
      </c>
      <c r="E4" s="1" t="s">
        <v>805</v>
      </c>
      <c r="F4" s="3">
        <v>341518</v>
      </c>
      <c r="G4" s="3">
        <v>733254</v>
      </c>
      <c r="H4" s="4">
        <v>0.57888183079968492</v>
      </c>
      <c r="I4" s="2">
        <v>41000</v>
      </c>
      <c r="J4" s="1" t="s">
        <v>88</v>
      </c>
      <c r="K4" s="1" t="s">
        <v>54</v>
      </c>
      <c r="L4" s="1" t="s">
        <v>68</v>
      </c>
      <c r="M4" s="1" t="s">
        <v>806</v>
      </c>
      <c r="N4" s="2">
        <v>45300</v>
      </c>
      <c r="O4" s="1" t="s">
        <v>56</v>
      </c>
      <c r="P4" s="2">
        <v>45412</v>
      </c>
      <c r="Q4" s="3">
        <v>31</v>
      </c>
      <c r="R4" s="3">
        <v>0</v>
      </c>
      <c r="S4" s="3">
        <v>31</v>
      </c>
      <c r="T4" s="3">
        <v>31</v>
      </c>
      <c r="U4" s="26">
        <v>31</v>
      </c>
      <c r="V4" s="26">
        <v>0</v>
      </c>
      <c r="W4" s="26">
        <v>0</v>
      </c>
      <c r="X4" s="26">
        <v>0</v>
      </c>
      <c r="Y4" s="26">
        <v>0</v>
      </c>
      <c r="Z4" s="26">
        <v>0</v>
      </c>
      <c r="AA4" s="26">
        <v>0</v>
      </c>
      <c r="AB4" s="26">
        <v>0</v>
      </c>
      <c r="AC4" s="26">
        <v>0</v>
      </c>
      <c r="AD4" s="26">
        <v>0</v>
      </c>
      <c r="AE4" s="26">
        <v>0</v>
      </c>
      <c r="AF4" s="26">
        <f>SUM(Table2[[#This Row],[Programmed Y1]:[Later Years]])</f>
        <v>31</v>
      </c>
      <c r="AG4" s="1" t="s">
        <v>57</v>
      </c>
      <c r="AH4" s="1" t="s">
        <v>202</v>
      </c>
      <c r="AI4" s="3">
        <v>0</v>
      </c>
      <c r="AJ4" s="3">
        <v>31</v>
      </c>
      <c r="AK4" s="3">
        <v>24</v>
      </c>
      <c r="AL4" s="3">
        <v>7</v>
      </c>
      <c r="AM4" s="1" t="s">
        <v>59</v>
      </c>
      <c r="AN4" s="1" t="s">
        <v>798</v>
      </c>
      <c r="AP4" s="1" t="s">
        <v>807</v>
      </c>
      <c r="AQ4" s="1" t="s">
        <v>808</v>
      </c>
      <c r="AR4" s="3" t="s">
        <v>135</v>
      </c>
      <c r="AS4" s="3" t="s">
        <v>63</v>
      </c>
      <c r="AT4" s="1" t="s">
        <v>63</v>
      </c>
      <c r="AV4" s="1" t="s">
        <v>809</v>
      </c>
    </row>
    <row r="5" spans="1:48" s="1" customFormat="1" ht="29.1">
      <c r="A5" s="15" t="s">
        <v>810</v>
      </c>
      <c r="B5" s="1" t="s">
        <v>811</v>
      </c>
      <c r="C5" s="3" t="s">
        <v>812</v>
      </c>
      <c r="D5" s="1" t="s">
        <v>813</v>
      </c>
      <c r="E5" s="1" t="s">
        <v>814</v>
      </c>
      <c r="F5" s="3">
        <v>341531</v>
      </c>
      <c r="G5" s="3">
        <v>733473</v>
      </c>
      <c r="H5" s="4">
        <v>0.44669889979889449</v>
      </c>
      <c r="I5" s="2">
        <v>41000</v>
      </c>
      <c r="J5" s="1" t="s">
        <v>88</v>
      </c>
      <c r="K5" s="1" t="s">
        <v>54</v>
      </c>
      <c r="L5" s="1" t="s">
        <v>68</v>
      </c>
      <c r="M5" s="1" t="s">
        <v>806</v>
      </c>
      <c r="N5" s="2">
        <v>45300</v>
      </c>
      <c r="O5" s="1" t="s">
        <v>56</v>
      </c>
      <c r="P5" s="2">
        <v>45412</v>
      </c>
      <c r="Q5" s="3">
        <v>17</v>
      </c>
      <c r="R5" s="3">
        <v>0</v>
      </c>
      <c r="S5" s="3">
        <v>17</v>
      </c>
      <c r="T5" s="3">
        <v>17</v>
      </c>
      <c r="U5" s="26">
        <v>17</v>
      </c>
      <c r="V5" s="26">
        <v>0</v>
      </c>
      <c r="W5" s="26">
        <v>0</v>
      </c>
      <c r="X5" s="26">
        <v>0</v>
      </c>
      <c r="Y5" s="26">
        <v>0</v>
      </c>
      <c r="Z5" s="26">
        <v>0</v>
      </c>
      <c r="AA5" s="26">
        <v>0</v>
      </c>
      <c r="AB5" s="26">
        <v>0</v>
      </c>
      <c r="AC5" s="26">
        <v>0</v>
      </c>
      <c r="AD5" s="26">
        <v>0</v>
      </c>
      <c r="AE5" s="26">
        <v>0</v>
      </c>
      <c r="AF5" s="26">
        <f>SUM(Table2[[#This Row],[Programmed Y1]:[Later Years]])</f>
        <v>17</v>
      </c>
      <c r="AG5" s="1" t="s">
        <v>57</v>
      </c>
      <c r="AH5" s="1" t="s">
        <v>202</v>
      </c>
      <c r="AI5" s="3">
        <v>0</v>
      </c>
      <c r="AJ5" s="3">
        <v>17</v>
      </c>
      <c r="AK5" s="3">
        <v>10</v>
      </c>
      <c r="AL5" s="3">
        <v>7</v>
      </c>
      <c r="AM5" s="1" t="s">
        <v>59</v>
      </c>
      <c r="AN5" s="1" t="s">
        <v>798</v>
      </c>
      <c r="AP5" s="1" t="s">
        <v>807</v>
      </c>
      <c r="AQ5" s="1" t="s">
        <v>808</v>
      </c>
      <c r="AR5" s="3" t="s">
        <v>135</v>
      </c>
      <c r="AS5" s="3" t="s">
        <v>63</v>
      </c>
      <c r="AT5" s="1" t="s">
        <v>63</v>
      </c>
      <c r="AV5" s="1" t="s">
        <v>809</v>
      </c>
    </row>
    <row r="6" spans="1:48" s="1" customFormat="1" ht="29.1">
      <c r="A6" s="15" t="s">
        <v>815</v>
      </c>
      <c r="B6" s="1" t="s">
        <v>816</v>
      </c>
      <c r="C6" s="3"/>
      <c r="D6" s="1" t="s">
        <v>817</v>
      </c>
      <c r="E6" s="1" t="s">
        <v>818</v>
      </c>
      <c r="F6" s="3">
        <v>337465</v>
      </c>
      <c r="G6" s="3">
        <v>730045</v>
      </c>
      <c r="H6" s="4">
        <v>0.13055430708141491</v>
      </c>
      <c r="I6" s="2">
        <v>41621</v>
      </c>
      <c r="J6" s="1" t="s">
        <v>53</v>
      </c>
      <c r="K6" s="1" t="s">
        <v>54</v>
      </c>
      <c r="L6" s="1" t="s">
        <v>68</v>
      </c>
      <c r="M6" s="1" t="s">
        <v>819</v>
      </c>
      <c r="N6" s="2">
        <v>44624</v>
      </c>
      <c r="O6" s="1" t="s">
        <v>56</v>
      </c>
      <c r="P6" s="2">
        <v>44183</v>
      </c>
      <c r="Q6" s="3">
        <v>1</v>
      </c>
      <c r="R6" s="3">
        <v>0</v>
      </c>
      <c r="S6" s="3">
        <v>1</v>
      </c>
      <c r="T6" s="3">
        <v>1</v>
      </c>
      <c r="U6" s="26">
        <v>0</v>
      </c>
      <c r="V6" s="26">
        <v>0</v>
      </c>
      <c r="W6" s="26">
        <v>0</v>
      </c>
      <c r="X6" s="26">
        <v>0</v>
      </c>
      <c r="Y6" s="26">
        <v>0</v>
      </c>
      <c r="Z6" s="26">
        <v>0</v>
      </c>
      <c r="AA6" s="26">
        <v>0</v>
      </c>
      <c r="AB6" s="26">
        <v>0</v>
      </c>
      <c r="AC6" s="26">
        <v>0</v>
      </c>
      <c r="AD6" s="26">
        <v>0</v>
      </c>
      <c r="AE6" s="26">
        <v>0</v>
      </c>
      <c r="AF6" s="26">
        <f>SUM(Table2[[#This Row],[Programmed Y1]:[Later Years]])</f>
        <v>0</v>
      </c>
      <c r="AG6" s="1" t="s">
        <v>57</v>
      </c>
      <c r="AH6" s="1" t="s">
        <v>58</v>
      </c>
      <c r="AI6" s="3">
        <v>1</v>
      </c>
      <c r="AJ6" s="3">
        <v>0</v>
      </c>
      <c r="AK6" s="3">
        <v>0</v>
      </c>
      <c r="AL6" s="3">
        <v>1</v>
      </c>
      <c r="AM6" s="1" t="s">
        <v>452</v>
      </c>
      <c r="AN6" s="1" t="s">
        <v>798</v>
      </c>
      <c r="AP6" s="1" t="s">
        <v>362</v>
      </c>
      <c r="AQ6" s="1" t="s">
        <v>362</v>
      </c>
      <c r="AR6" s="3" t="s">
        <v>135</v>
      </c>
      <c r="AS6" s="3" t="s">
        <v>63</v>
      </c>
      <c r="AT6" s="1" t="s">
        <v>453</v>
      </c>
    </row>
    <row r="7" spans="1:48" s="1" customFormat="1" ht="14.45">
      <c r="A7" s="15" t="s">
        <v>820</v>
      </c>
      <c r="B7" s="1" t="s">
        <v>821</v>
      </c>
      <c r="C7" s="3"/>
      <c r="D7" s="1" t="s">
        <v>822</v>
      </c>
      <c r="E7" s="1" t="s">
        <v>823</v>
      </c>
      <c r="F7" s="3">
        <v>341179</v>
      </c>
      <c r="G7" s="3">
        <v>731912</v>
      </c>
      <c r="H7" s="4">
        <v>0.13844176759897481</v>
      </c>
      <c r="I7" s="2">
        <v>43034</v>
      </c>
      <c r="J7" s="1" t="s">
        <v>53</v>
      </c>
      <c r="K7" s="1" t="s">
        <v>54</v>
      </c>
      <c r="L7" s="1" t="s">
        <v>68</v>
      </c>
      <c r="M7" s="1" t="s">
        <v>824</v>
      </c>
      <c r="N7" s="2">
        <v>44071</v>
      </c>
      <c r="O7" s="1" t="s">
        <v>56</v>
      </c>
      <c r="P7" s="2">
        <v>45026</v>
      </c>
      <c r="Q7" s="3">
        <v>1</v>
      </c>
      <c r="R7" s="3">
        <v>0</v>
      </c>
      <c r="S7" s="3">
        <v>1</v>
      </c>
      <c r="T7" s="3">
        <v>1</v>
      </c>
      <c r="U7" s="26">
        <v>0</v>
      </c>
      <c r="V7" s="26">
        <v>0</v>
      </c>
      <c r="W7" s="26">
        <v>0</v>
      </c>
      <c r="X7" s="26">
        <v>0</v>
      </c>
      <c r="Y7" s="26">
        <v>0</v>
      </c>
      <c r="Z7" s="26">
        <v>0</v>
      </c>
      <c r="AA7" s="26">
        <v>0</v>
      </c>
      <c r="AB7" s="26">
        <v>0</v>
      </c>
      <c r="AC7" s="26">
        <v>0</v>
      </c>
      <c r="AD7" s="26">
        <v>0</v>
      </c>
      <c r="AE7" s="26">
        <v>0</v>
      </c>
      <c r="AF7" s="26">
        <f>SUM(Table2[[#This Row],[Programmed Y1]:[Later Years]])</f>
        <v>0</v>
      </c>
      <c r="AG7" s="1" t="s">
        <v>57</v>
      </c>
      <c r="AH7" s="1" t="s">
        <v>58</v>
      </c>
      <c r="AI7" s="3">
        <v>1</v>
      </c>
      <c r="AJ7" s="3">
        <v>0</v>
      </c>
      <c r="AK7" s="3">
        <v>0</v>
      </c>
      <c r="AL7" s="3">
        <v>1</v>
      </c>
      <c r="AM7" s="1" t="s">
        <v>452</v>
      </c>
      <c r="AN7" s="1" t="s">
        <v>798</v>
      </c>
      <c r="AP7" s="1" t="s">
        <v>362</v>
      </c>
      <c r="AQ7" s="1" t="s">
        <v>362</v>
      </c>
      <c r="AR7" s="3" t="s">
        <v>135</v>
      </c>
      <c r="AS7" s="3" t="s">
        <v>63</v>
      </c>
      <c r="AT7" s="1" t="s">
        <v>453</v>
      </c>
    </row>
    <row r="8" spans="1:48" s="1" customFormat="1" ht="29.1">
      <c r="A8" s="15" t="s">
        <v>825</v>
      </c>
      <c r="B8" s="1" t="s">
        <v>826</v>
      </c>
      <c r="C8" s="3"/>
      <c r="D8" s="1" t="s">
        <v>827</v>
      </c>
      <c r="E8" s="1" t="s">
        <v>828</v>
      </c>
      <c r="F8" s="3">
        <v>341037</v>
      </c>
      <c r="G8" s="3">
        <v>731374</v>
      </c>
      <c r="H8" s="4">
        <v>0.1406062255352461</v>
      </c>
      <c r="I8" s="2">
        <v>43368</v>
      </c>
      <c r="J8" s="1" t="s">
        <v>53</v>
      </c>
      <c r="K8" s="1" t="s">
        <v>54</v>
      </c>
      <c r="L8" s="1" t="s">
        <v>68</v>
      </c>
      <c r="M8" s="1" t="s">
        <v>829</v>
      </c>
      <c r="N8" s="2">
        <v>43368</v>
      </c>
      <c r="O8" s="1" t="s">
        <v>56</v>
      </c>
      <c r="P8" s="2">
        <v>44397</v>
      </c>
      <c r="Q8" s="3">
        <v>16</v>
      </c>
      <c r="R8" s="3">
        <v>0</v>
      </c>
      <c r="S8" s="3">
        <v>16</v>
      </c>
      <c r="T8" s="3">
        <v>16</v>
      </c>
      <c r="U8" s="26">
        <v>16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0</v>
      </c>
      <c r="AB8" s="26">
        <v>0</v>
      </c>
      <c r="AC8" s="26">
        <v>0</v>
      </c>
      <c r="AD8" s="26">
        <v>0</v>
      </c>
      <c r="AE8" s="26">
        <v>0</v>
      </c>
      <c r="AF8" s="26">
        <f>SUM(Table2[[#This Row],[Programmed Y1]:[Later Years]])</f>
        <v>16</v>
      </c>
      <c r="AG8" s="1" t="s">
        <v>57</v>
      </c>
      <c r="AH8" s="1" t="s">
        <v>202</v>
      </c>
      <c r="AI8" s="3">
        <v>0</v>
      </c>
      <c r="AJ8" s="3">
        <v>16</v>
      </c>
      <c r="AK8" s="3">
        <v>16</v>
      </c>
      <c r="AL8" s="3">
        <v>0</v>
      </c>
      <c r="AM8" s="1" t="s">
        <v>59</v>
      </c>
      <c r="AN8" s="1" t="s">
        <v>798</v>
      </c>
      <c r="AP8" s="1" t="s">
        <v>224</v>
      </c>
      <c r="AQ8" s="1" t="s">
        <v>830</v>
      </c>
      <c r="AR8" s="3" t="s">
        <v>135</v>
      </c>
      <c r="AS8" s="3" t="s">
        <v>63</v>
      </c>
      <c r="AT8" s="1" t="s">
        <v>63</v>
      </c>
    </row>
    <row r="9" spans="1:48" s="1" customFormat="1" ht="29.1">
      <c r="A9" s="15" t="s">
        <v>831</v>
      </c>
      <c r="B9" s="1" t="s">
        <v>832</v>
      </c>
      <c r="C9" s="3"/>
      <c r="D9" s="1" t="s">
        <v>833</v>
      </c>
      <c r="E9" s="1" t="s">
        <v>834</v>
      </c>
      <c r="F9" s="3">
        <v>340968</v>
      </c>
      <c r="G9" s="3">
        <v>730232</v>
      </c>
      <c r="H9" s="4">
        <v>0.57494226984948238</v>
      </c>
      <c r="I9" s="2">
        <v>43454</v>
      </c>
      <c r="J9" s="1" t="s">
        <v>53</v>
      </c>
      <c r="K9" s="1" t="s">
        <v>54</v>
      </c>
      <c r="L9" s="1" t="s">
        <v>68</v>
      </c>
      <c r="M9" s="1" t="s">
        <v>835</v>
      </c>
      <c r="N9" s="2">
        <v>43454</v>
      </c>
      <c r="O9" s="1" t="s">
        <v>56</v>
      </c>
      <c r="P9" s="2">
        <v>43585</v>
      </c>
      <c r="Q9" s="3">
        <v>119</v>
      </c>
      <c r="R9" s="3">
        <v>0</v>
      </c>
      <c r="S9" s="3">
        <v>53</v>
      </c>
      <c r="T9" s="3">
        <v>119</v>
      </c>
      <c r="U9" s="26">
        <v>53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f>SUM(Table2[[#This Row],[Programmed Y1]:[Later Years]])</f>
        <v>53</v>
      </c>
      <c r="AG9" s="1" t="s">
        <v>57</v>
      </c>
      <c r="AH9" s="1" t="s">
        <v>202</v>
      </c>
      <c r="AI9" s="3">
        <v>0</v>
      </c>
      <c r="AJ9" s="3">
        <v>53</v>
      </c>
      <c r="AK9" s="3">
        <v>119</v>
      </c>
      <c r="AL9" s="3">
        <v>0</v>
      </c>
      <c r="AM9" s="1" t="s">
        <v>59</v>
      </c>
      <c r="AN9" s="1" t="s">
        <v>798</v>
      </c>
      <c r="AP9" s="1" t="s">
        <v>224</v>
      </c>
      <c r="AQ9" s="1" t="s">
        <v>836</v>
      </c>
      <c r="AR9" s="3" t="s">
        <v>135</v>
      </c>
      <c r="AS9" s="3" t="s">
        <v>63</v>
      </c>
      <c r="AT9" s="1" t="s">
        <v>63</v>
      </c>
    </row>
    <row r="10" spans="1:48" s="1" customFormat="1" ht="20.100000000000001" customHeight="1">
      <c r="A10" s="15" t="s">
        <v>837</v>
      </c>
      <c r="B10" s="1" t="s">
        <v>838</v>
      </c>
      <c r="C10" s="3"/>
      <c r="D10" s="1" t="s">
        <v>839</v>
      </c>
      <c r="E10" s="1" t="s">
        <v>840</v>
      </c>
      <c r="F10" s="3">
        <v>339735</v>
      </c>
      <c r="G10" s="3">
        <v>730377</v>
      </c>
      <c r="H10" s="4">
        <v>0.28532220319929902</v>
      </c>
      <c r="I10" s="2">
        <v>43448</v>
      </c>
      <c r="J10" s="1" t="s">
        <v>53</v>
      </c>
      <c r="K10" s="1" t="s">
        <v>54</v>
      </c>
      <c r="L10" s="1" t="s">
        <v>68</v>
      </c>
      <c r="M10" s="1" t="s">
        <v>841</v>
      </c>
      <c r="N10" s="2">
        <v>43448</v>
      </c>
      <c r="O10" s="1" t="s">
        <v>56</v>
      </c>
      <c r="P10" s="2">
        <v>44551</v>
      </c>
      <c r="Q10" s="3">
        <v>17</v>
      </c>
      <c r="R10" s="3">
        <v>0</v>
      </c>
      <c r="S10" s="3">
        <v>17</v>
      </c>
      <c r="T10" s="3">
        <v>17</v>
      </c>
      <c r="U10" s="26">
        <v>17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f>SUM(Table2[[#This Row],[Programmed Y1]:[Later Years]])</f>
        <v>17</v>
      </c>
      <c r="AG10" s="1" t="s">
        <v>57</v>
      </c>
      <c r="AH10" s="1" t="s">
        <v>58</v>
      </c>
      <c r="AI10" s="3">
        <v>17</v>
      </c>
      <c r="AJ10" s="3">
        <v>0</v>
      </c>
      <c r="AK10" s="3">
        <v>17</v>
      </c>
      <c r="AL10" s="3">
        <v>0</v>
      </c>
      <c r="AM10" s="1" t="s">
        <v>59</v>
      </c>
      <c r="AN10" s="1" t="s">
        <v>798</v>
      </c>
      <c r="AP10" s="1" t="s">
        <v>842</v>
      </c>
      <c r="AQ10" s="1" t="s">
        <v>842</v>
      </c>
      <c r="AR10" s="3" t="s">
        <v>135</v>
      </c>
      <c r="AS10" s="3" t="s">
        <v>63</v>
      </c>
      <c r="AT10" s="1" t="s">
        <v>63</v>
      </c>
    </row>
    <row r="11" spans="1:48" s="1" customFormat="1" ht="43.5">
      <c r="A11" s="15" t="s">
        <v>843</v>
      </c>
      <c r="B11" s="1" t="s">
        <v>844</v>
      </c>
      <c r="C11" s="3"/>
      <c r="D11" s="1" t="s">
        <v>845</v>
      </c>
      <c r="E11" s="1" t="s">
        <v>846</v>
      </c>
      <c r="F11" s="3">
        <v>336795</v>
      </c>
      <c r="G11" s="3">
        <v>731616</v>
      </c>
      <c r="H11" s="4">
        <v>0.213622512135589</v>
      </c>
      <c r="I11" s="2">
        <v>43853</v>
      </c>
      <c r="J11" s="1" t="s">
        <v>53</v>
      </c>
      <c r="K11" s="1" t="s">
        <v>54</v>
      </c>
      <c r="L11" s="1" t="s">
        <v>68</v>
      </c>
      <c r="M11" s="1" t="s">
        <v>847</v>
      </c>
      <c r="N11" s="2">
        <v>43853</v>
      </c>
      <c r="O11" s="1" t="s">
        <v>56</v>
      </c>
      <c r="P11" s="2">
        <v>44487</v>
      </c>
      <c r="Q11" s="3">
        <v>8</v>
      </c>
      <c r="R11" s="3">
        <v>0</v>
      </c>
      <c r="S11" s="3">
        <v>8</v>
      </c>
      <c r="T11" s="3">
        <v>8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f>SUM(Table2[[#This Row],[Programmed Y1]:[Later Years]])</f>
        <v>0</v>
      </c>
      <c r="AG11" s="1" t="s">
        <v>57</v>
      </c>
      <c r="AH11" s="1" t="s">
        <v>58</v>
      </c>
      <c r="AI11" s="3">
        <v>0</v>
      </c>
      <c r="AJ11" s="3">
        <v>0</v>
      </c>
      <c r="AK11" s="3">
        <v>0</v>
      </c>
      <c r="AL11" s="3">
        <v>8</v>
      </c>
      <c r="AM11" s="1" t="s">
        <v>59</v>
      </c>
      <c r="AN11" s="1" t="s">
        <v>798</v>
      </c>
      <c r="AP11" s="1" t="s">
        <v>848</v>
      </c>
      <c r="AQ11" s="1" t="s">
        <v>849</v>
      </c>
      <c r="AR11" s="3" t="s">
        <v>135</v>
      </c>
      <c r="AS11" s="3" t="s">
        <v>63</v>
      </c>
      <c r="AT11" s="1" t="s">
        <v>63</v>
      </c>
    </row>
    <row r="12" spans="1:48" s="1" customFormat="1" ht="20.100000000000001" customHeight="1">
      <c r="A12" s="15" t="s">
        <v>850</v>
      </c>
      <c r="B12" s="1" t="s">
        <v>851</v>
      </c>
      <c r="C12" s="3"/>
      <c r="D12" s="1" t="s">
        <v>852</v>
      </c>
      <c r="E12" s="1" t="s">
        <v>853</v>
      </c>
      <c r="F12" s="3">
        <v>342348</v>
      </c>
      <c r="G12" s="3">
        <v>732644</v>
      </c>
      <c r="H12" s="4">
        <v>0.73252565667665248</v>
      </c>
      <c r="I12" s="2">
        <v>44022</v>
      </c>
      <c r="J12" s="1" t="s">
        <v>53</v>
      </c>
      <c r="K12" s="1" t="s">
        <v>54</v>
      </c>
      <c r="L12" s="1" t="s">
        <v>68</v>
      </c>
      <c r="M12" s="1" t="s">
        <v>854</v>
      </c>
      <c r="N12" s="2">
        <v>44229</v>
      </c>
      <c r="O12" s="1" t="s">
        <v>56</v>
      </c>
      <c r="P12" s="2">
        <v>45362</v>
      </c>
      <c r="Q12" s="3">
        <v>21</v>
      </c>
      <c r="R12" s="3">
        <v>0</v>
      </c>
      <c r="S12" s="3">
        <v>21</v>
      </c>
      <c r="T12" s="3">
        <v>21</v>
      </c>
      <c r="U12" s="26">
        <v>0</v>
      </c>
      <c r="V12" s="26">
        <v>21</v>
      </c>
      <c r="W12" s="26">
        <v>0</v>
      </c>
      <c r="X12" s="26">
        <v>0</v>
      </c>
      <c r="Y12" s="26">
        <v>0</v>
      </c>
      <c r="Z12" s="26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f>SUM(Table2[[#This Row],[Programmed Y1]:[Later Years]])</f>
        <v>21</v>
      </c>
      <c r="AG12" s="1" t="s">
        <v>57</v>
      </c>
      <c r="AH12" s="1" t="s">
        <v>202</v>
      </c>
      <c r="AI12" s="3">
        <v>0</v>
      </c>
      <c r="AJ12" s="3">
        <v>21</v>
      </c>
      <c r="AK12" s="3">
        <v>8</v>
      </c>
      <c r="AL12" s="3">
        <v>13</v>
      </c>
      <c r="AM12" s="1" t="s">
        <v>59</v>
      </c>
      <c r="AN12" s="1" t="s">
        <v>798</v>
      </c>
      <c r="AP12" s="1" t="s">
        <v>243</v>
      </c>
      <c r="AQ12" s="1" t="s">
        <v>243</v>
      </c>
      <c r="AR12" s="3" t="s">
        <v>135</v>
      </c>
      <c r="AS12" s="3" t="s">
        <v>63</v>
      </c>
      <c r="AT12" s="1" t="s">
        <v>63</v>
      </c>
    </row>
    <row r="13" spans="1:48" s="1" customFormat="1" ht="20.100000000000001" customHeight="1">
      <c r="A13" s="15" t="s">
        <v>855</v>
      </c>
      <c r="B13" s="1" t="s">
        <v>856</v>
      </c>
      <c r="C13" s="3"/>
      <c r="D13" s="1" t="s">
        <v>857</v>
      </c>
      <c r="E13" s="1" t="s">
        <v>858</v>
      </c>
      <c r="F13" s="3">
        <v>337386</v>
      </c>
      <c r="G13" s="3">
        <v>732179</v>
      </c>
      <c r="H13" s="4">
        <v>0.21119592168807791</v>
      </c>
      <c r="I13" s="2">
        <v>44409</v>
      </c>
      <c r="J13" s="1" t="s">
        <v>53</v>
      </c>
      <c r="K13" s="1" t="s">
        <v>54</v>
      </c>
      <c r="L13" s="1" t="s">
        <v>68</v>
      </c>
      <c r="M13" s="1" t="s">
        <v>859</v>
      </c>
      <c r="N13" s="2">
        <v>44425</v>
      </c>
      <c r="O13" s="1" t="s">
        <v>56</v>
      </c>
      <c r="P13" s="2">
        <v>45152</v>
      </c>
      <c r="Q13" s="3">
        <v>18</v>
      </c>
      <c r="R13" s="3">
        <v>0</v>
      </c>
      <c r="S13" s="3">
        <v>18</v>
      </c>
      <c r="T13" s="3">
        <v>18</v>
      </c>
      <c r="U13" s="26">
        <v>18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f>SUM(Table2[[#This Row],[Programmed Y1]:[Later Years]])</f>
        <v>18</v>
      </c>
      <c r="AG13" s="1" t="s">
        <v>57</v>
      </c>
      <c r="AH13" s="1" t="s">
        <v>202</v>
      </c>
      <c r="AI13" s="3">
        <v>0</v>
      </c>
      <c r="AJ13" s="3">
        <v>18</v>
      </c>
      <c r="AK13" s="3">
        <v>18</v>
      </c>
      <c r="AL13" s="3">
        <v>0</v>
      </c>
      <c r="AM13" s="1" t="s">
        <v>59</v>
      </c>
      <c r="AN13" s="1" t="s">
        <v>798</v>
      </c>
      <c r="AP13" s="1" t="s">
        <v>860</v>
      </c>
      <c r="AQ13" s="1" t="s">
        <v>224</v>
      </c>
      <c r="AR13" s="3" t="s">
        <v>135</v>
      </c>
      <c r="AS13" s="3" t="s">
        <v>63</v>
      </c>
      <c r="AT13" s="1" t="s">
        <v>63</v>
      </c>
      <c r="AV13" s="1" t="s">
        <v>861</v>
      </c>
    </row>
    <row r="14" spans="1:48" s="1" customFormat="1" ht="14.45">
      <c r="A14" s="15" t="s">
        <v>862</v>
      </c>
      <c r="B14" s="27" t="s">
        <v>863</v>
      </c>
      <c r="C14" s="28"/>
      <c r="D14" s="27" t="s">
        <v>864</v>
      </c>
      <c r="E14" s="27" t="s">
        <v>865</v>
      </c>
      <c r="F14" s="28">
        <v>343400</v>
      </c>
      <c r="G14" s="28">
        <v>732158</v>
      </c>
      <c r="H14" s="29">
        <v>2.100051436432723</v>
      </c>
      <c r="I14" s="30">
        <v>44636</v>
      </c>
      <c r="J14" s="27" t="s">
        <v>53</v>
      </c>
      <c r="K14" s="27" t="s">
        <v>54</v>
      </c>
      <c r="L14" s="27" t="s">
        <v>68</v>
      </c>
      <c r="M14" s="27" t="s">
        <v>866</v>
      </c>
      <c r="N14" s="30">
        <v>44636</v>
      </c>
      <c r="O14" s="27" t="s">
        <v>56</v>
      </c>
      <c r="P14" s="30">
        <v>44936</v>
      </c>
      <c r="Q14" s="28">
        <v>67</v>
      </c>
      <c r="R14" s="28">
        <v>0</v>
      </c>
      <c r="S14" s="28">
        <v>39</v>
      </c>
      <c r="T14" s="28">
        <v>67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26">
        <f>SUM(Table2[[#This Row],[Programmed Y1]:[Later Years]])</f>
        <v>0</v>
      </c>
      <c r="AG14" s="27" t="s">
        <v>57</v>
      </c>
      <c r="AH14" s="27" t="s">
        <v>202</v>
      </c>
      <c r="AI14" s="28">
        <v>0</v>
      </c>
      <c r="AJ14" s="28">
        <v>67</v>
      </c>
      <c r="AK14" s="28">
        <v>24</v>
      </c>
      <c r="AL14" s="28">
        <v>43</v>
      </c>
      <c r="AM14" s="27" t="s">
        <v>59</v>
      </c>
      <c r="AN14" s="27" t="s">
        <v>798</v>
      </c>
      <c r="AO14" s="27"/>
      <c r="AP14" s="27" t="s">
        <v>867</v>
      </c>
      <c r="AQ14" s="27" t="s">
        <v>836</v>
      </c>
      <c r="AR14" s="28" t="s">
        <v>135</v>
      </c>
      <c r="AS14" s="28" t="s">
        <v>63</v>
      </c>
      <c r="AT14" s="27" t="s">
        <v>63</v>
      </c>
      <c r="AU14" s="27"/>
      <c r="AV14" s="27"/>
    </row>
    <row r="15" spans="1:48" s="1" customFormat="1" ht="20.100000000000001" customHeight="1">
      <c r="A15" s="15" t="s">
        <v>868</v>
      </c>
      <c r="B15" s="1" t="s">
        <v>869</v>
      </c>
      <c r="C15" s="3"/>
      <c r="D15" s="1" t="s">
        <v>870</v>
      </c>
      <c r="E15" s="1" t="s">
        <v>871</v>
      </c>
      <c r="F15" s="3">
        <v>338908</v>
      </c>
      <c r="G15" s="3">
        <v>730689</v>
      </c>
      <c r="H15" s="4">
        <v>2.0024929999235719E-2</v>
      </c>
      <c r="I15" s="2">
        <v>44993</v>
      </c>
      <c r="J15" s="1" t="s">
        <v>53</v>
      </c>
      <c r="K15" s="1" t="s">
        <v>54</v>
      </c>
      <c r="L15" s="1" t="s">
        <v>68</v>
      </c>
      <c r="M15" s="1" t="s">
        <v>872</v>
      </c>
      <c r="N15" s="2">
        <v>44993</v>
      </c>
      <c r="O15" s="1" t="s">
        <v>56</v>
      </c>
      <c r="P15" s="2">
        <v>45061</v>
      </c>
      <c r="Q15" s="3">
        <v>1</v>
      </c>
      <c r="R15" s="3">
        <v>0</v>
      </c>
      <c r="S15" s="3">
        <v>1</v>
      </c>
      <c r="T15" s="3">
        <v>1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26">
        <v>0</v>
      </c>
      <c r="AC15" s="26">
        <v>0</v>
      </c>
      <c r="AD15" s="26">
        <v>0</v>
      </c>
      <c r="AE15" s="26">
        <v>0</v>
      </c>
      <c r="AF15" s="26">
        <f>SUM(Table2[[#This Row],[Programmed Y1]:[Later Years]])</f>
        <v>0</v>
      </c>
      <c r="AG15" s="1" t="s">
        <v>57</v>
      </c>
      <c r="AH15" s="1" t="s">
        <v>58</v>
      </c>
      <c r="AI15" s="3">
        <v>1</v>
      </c>
      <c r="AJ15" s="3">
        <v>0</v>
      </c>
      <c r="AK15" s="3">
        <v>1</v>
      </c>
      <c r="AL15" s="3">
        <v>0</v>
      </c>
      <c r="AM15" s="1" t="s">
        <v>452</v>
      </c>
      <c r="AN15" s="1" t="s">
        <v>798</v>
      </c>
      <c r="AP15" s="1" t="s">
        <v>362</v>
      </c>
      <c r="AQ15" s="1" t="s">
        <v>362</v>
      </c>
      <c r="AR15" s="3" t="s">
        <v>135</v>
      </c>
      <c r="AS15" s="3" t="s">
        <v>63</v>
      </c>
      <c r="AT15" s="1" t="s">
        <v>453</v>
      </c>
    </row>
    <row r="16" spans="1:48" s="1" customFormat="1" ht="20.100000000000001" customHeight="1">
      <c r="A16" s="15" t="s">
        <v>873</v>
      </c>
      <c r="B16" s="1" t="s">
        <v>584</v>
      </c>
      <c r="C16" s="3"/>
      <c r="D16" s="1" t="s">
        <v>874</v>
      </c>
      <c r="E16" s="1" t="s">
        <v>875</v>
      </c>
      <c r="F16" s="3">
        <v>338788</v>
      </c>
      <c r="G16" s="3">
        <v>730722</v>
      </c>
      <c r="H16" s="4">
        <v>5.9335263190772279E-3</v>
      </c>
      <c r="I16" s="2">
        <v>45516</v>
      </c>
      <c r="J16" s="1" t="s">
        <v>53</v>
      </c>
      <c r="K16" s="1" t="s">
        <v>54</v>
      </c>
      <c r="M16" s="1" t="s">
        <v>876</v>
      </c>
      <c r="N16" s="2">
        <v>45573</v>
      </c>
      <c r="O16" s="1" t="s">
        <v>56</v>
      </c>
      <c r="P16" s="2">
        <v>45847</v>
      </c>
      <c r="Q16" s="3">
        <v>1</v>
      </c>
      <c r="R16" s="3">
        <v>0</v>
      </c>
      <c r="S16" s="3">
        <v>1</v>
      </c>
      <c r="T16" s="3">
        <v>1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f>SUM(Table2[[#This Row],[Programmed Y1]:[Later Years]])</f>
        <v>0</v>
      </c>
      <c r="AG16" s="1" t="s">
        <v>57</v>
      </c>
      <c r="AH16" s="1" t="s">
        <v>58</v>
      </c>
      <c r="AI16" s="3">
        <v>1</v>
      </c>
      <c r="AJ16" s="3">
        <v>0</v>
      </c>
      <c r="AK16" s="3">
        <v>1</v>
      </c>
      <c r="AL16" s="3">
        <v>0</v>
      </c>
      <c r="AM16" s="1" t="s">
        <v>452</v>
      </c>
      <c r="AN16" s="1" t="s">
        <v>798</v>
      </c>
      <c r="AP16" s="1" t="s">
        <v>362</v>
      </c>
      <c r="AQ16" s="1" t="s">
        <v>362</v>
      </c>
      <c r="AR16" s="3" t="s">
        <v>135</v>
      </c>
      <c r="AS16" s="3" t="s">
        <v>63</v>
      </c>
      <c r="AT16" s="1" t="s">
        <v>453</v>
      </c>
    </row>
    <row r="17" spans="1:48" s="1" customFormat="1" ht="14.45">
      <c r="A17" s="15" t="s">
        <v>877</v>
      </c>
      <c r="B17" s="1" t="s">
        <v>878</v>
      </c>
      <c r="C17" s="3"/>
      <c r="D17" s="1" t="s">
        <v>878</v>
      </c>
      <c r="E17" s="1" t="s">
        <v>879</v>
      </c>
      <c r="F17" s="3">
        <v>341268</v>
      </c>
      <c r="G17" s="3">
        <v>731606</v>
      </c>
      <c r="H17" s="4">
        <v>1.141793999997614E-2</v>
      </c>
      <c r="I17" s="2">
        <v>45800</v>
      </c>
      <c r="J17" s="1" t="s">
        <v>53</v>
      </c>
      <c r="K17" s="1" t="s">
        <v>54</v>
      </c>
      <c r="M17" s="1" t="s">
        <v>880</v>
      </c>
      <c r="N17" s="2">
        <v>45800</v>
      </c>
      <c r="O17" s="1" t="s">
        <v>56</v>
      </c>
      <c r="P17" s="2"/>
      <c r="Q17" s="3">
        <v>2</v>
      </c>
      <c r="R17" s="3">
        <v>0</v>
      </c>
      <c r="S17" s="3">
        <v>2</v>
      </c>
      <c r="T17" s="3">
        <v>2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26">
        <f>SUM(Table2[[#This Row],[Programmed Y1]:[Later Years]])</f>
        <v>0</v>
      </c>
      <c r="AG17" s="1" t="s">
        <v>57</v>
      </c>
      <c r="AH17" s="1" t="s">
        <v>58</v>
      </c>
      <c r="AI17" s="3"/>
      <c r="AJ17" s="3"/>
      <c r="AK17" s="3">
        <v>2</v>
      </c>
      <c r="AL17" s="3">
        <v>0</v>
      </c>
      <c r="AM17" s="1" t="s">
        <v>452</v>
      </c>
      <c r="AN17" s="1" t="s">
        <v>798</v>
      </c>
      <c r="AP17" s="1" t="s">
        <v>362</v>
      </c>
      <c r="AQ17" s="1" t="s">
        <v>362</v>
      </c>
      <c r="AR17" s="3" t="s">
        <v>135</v>
      </c>
      <c r="AS17" s="3" t="s">
        <v>63</v>
      </c>
      <c r="AT17" s="1" t="s">
        <v>63</v>
      </c>
    </row>
    <row r="18" spans="1:48" s="1" customFormat="1" ht="20.100000000000001" customHeight="1">
      <c r="A18" s="15" t="s">
        <v>881</v>
      </c>
      <c r="B18" s="1" t="s">
        <v>648</v>
      </c>
      <c r="C18" s="3" t="s">
        <v>882</v>
      </c>
      <c r="D18" s="1" t="s">
        <v>883</v>
      </c>
      <c r="E18" s="1" t="s">
        <v>884</v>
      </c>
      <c r="F18" s="3">
        <v>340540</v>
      </c>
      <c r="G18" s="3">
        <v>730690</v>
      </c>
      <c r="H18" s="4">
        <v>4.9609167301206417E-2</v>
      </c>
      <c r="I18" s="2">
        <v>44490</v>
      </c>
      <c r="K18" s="1" t="s">
        <v>54</v>
      </c>
      <c r="M18" s="1" t="s">
        <v>885</v>
      </c>
      <c r="N18" s="2">
        <v>44490</v>
      </c>
      <c r="O18" s="1" t="s">
        <v>56</v>
      </c>
      <c r="P18" s="2">
        <v>45063</v>
      </c>
      <c r="Q18" s="3">
        <v>10</v>
      </c>
      <c r="R18" s="3">
        <v>0</v>
      </c>
      <c r="S18" s="3">
        <v>10</v>
      </c>
      <c r="T18" s="3">
        <v>10</v>
      </c>
      <c r="U18" s="26">
        <v>10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f>SUM(Table2[[#This Row],[Programmed Y1]:[Later Years]])</f>
        <v>10</v>
      </c>
      <c r="AG18" s="1" t="s">
        <v>57</v>
      </c>
      <c r="AH18" s="1" t="s">
        <v>58</v>
      </c>
      <c r="AI18" s="3"/>
      <c r="AJ18" s="3"/>
      <c r="AK18" s="3">
        <v>10</v>
      </c>
      <c r="AL18" s="3">
        <v>0</v>
      </c>
      <c r="AM18" s="1" t="s">
        <v>59</v>
      </c>
      <c r="AN18" s="1" t="s">
        <v>798</v>
      </c>
      <c r="AR18" s="3" t="s">
        <v>135</v>
      </c>
      <c r="AS18" s="3" t="s">
        <v>63</v>
      </c>
      <c r="AT18" s="1" t="s">
        <v>63</v>
      </c>
    </row>
    <row r="19" spans="1:48" ht="20.100000000000001" customHeight="1">
      <c r="A19" s="15" t="s">
        <v>886</v>
      </c>
      <c r="B19" s="1" t="s">
        <v>887</v>
      </c>
      <c r="C19" s="3"/>
      <c r="D19" s="1" t="s">
        <v>888</v>
      </c>
      <c r="E19" s="1" t="s">
        <v>889</v>
      </c>
      <c r="F19" s="3">
        <v>346185</v>
      </c>
      <c r="G19" s="3">
        <v>730924</v>
      </c>
      <c r="H19" s="4">
        <v>1.4110286449255251E-2</v>
      </c>
      <c r="I19" s="2">
        <v>45513</v>
      </c>
      <c r="J19" s="1"/>
      <c r="K19" s="1" t="s">
        <v>54</v>
      </c>
      <c r="L19" s="1"/>
      <c r="M19" s="1" t="s">
        <v>890</v>
      </c>
      <c r="N19" s="2">
        <v>45513</v>
      </c>
      <c r="O19" s="1" t="s">
        <v>56</v>
      </c>
      <c r="P19" s="2">
        <v>45770</v>
      </c>
      <c r="Q19" s="3">
        <v>2</v>
      </c>
      <c r="R19" s="3">
        <v>0</v>
      </c>
      <c r="S19" s="3">
        <v>2</v>
      </c>
      <c r="T19" s="3">
        <v>2</v>
      </c>
      <c r="U19" s="26">
        <v>2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f>SUM(Table2[[#This Row],[Programmed Y1]:[Later Years]])</f>
        <v>2</v>
      </c>
      <c r="AG19" s="1" t="s">
        <v>57</v>
      </c>
      <c r="AH19" s="1" t="s">
        <v>58</v>
      </c>
      <c r="AI19" s="3">
        <v>2</v>
      </c>
      <c r="AJ19" s="3"/>
      <c r="AK19" s="3">
        <v>2</v>
      </c>
      <c r="AL19" s="3">
        <v>0</v>
      </c>
      <c r="AM19" s="1" t="s">
        <v>452</v>
      </c>
      <c r="AN19" s="1" t="s">
        <v>798</v>
      </c>
      <c r="AO19" s="1"/>
      <c r="AP19" s="1"/>
      <c r="AQ19" s="1"/>
      <c r="AR19" s="3" t="s">
        <v>135</v>
      </c>
      <c r="AS19" s="3" t="s">
        <v>63</v>
      </c>
      <c r="AT19" s="1" t="s">
        <v>63</v>
      </c>
      <c r="AU19" s="1"/>
      <c r="AV19" s="1"/>
    </row>
    <row r="20" spans="1:48" ht="15" customHeight="1">
      <c r="A20" s="15"/>
      <c r="B20" s="1"/>
      <c r="C20" s="3"/>
      <c r="D20" s="1"/>
      <c r="E20" s="1"/>
      <c r="F20" s="3"/>
      <c r="G20" s="3"/>
      <c r="H20" s="4"/>
      <c r="I20" s="2"/>
      <c r="J20" s="1"/>
      <c r="K20" s="1"/>
      <c r="L20" s="1"/>
      <c r="M20" s="1"/>
      <c r="N20" s="2"/>
      <c r="O20" s="1"/>
      <c r="P20" s="2"/>
      <c r="Q20" s="3">
        <f>SUBTOTAL(109,Table2[Site capacity])</f>
        <v>360</v>
      </c>
      <c r="R20" s="3">
        <f>SUBTOTAL(109,Table2[Units to build])</f>
        <v>0</v>
      </c>
      <c r="S20" s="3">
        <f>SUBTOTAL(109,Table2[Plots completed in survey year])</f>
        <v>266</v>
      </c>
      <c r="T20" s="3">
        <f>SUBTOTAL(109,Table2[Total completions])</f>
        <v>360</v>
      </c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1"/>
      <c r="AH20" s="1"/>
      <c r="AI20" s="3"/>
      <c r="AJ20" s="3"/>
      <c r="AK20" s="3"/>
      <c r="AL20" s="3"/>
      <c r="AM20" s="1"/>
      <c r="AN20" s="1"/>
      <c r="AO20" s="1"/>
      <c r="AP20" s="1"/>
      <c r="AQ20" s="1"/>
      <c r="AR20" s="3"/>
      <c r="AS20" s="3"/>
      <c r="AT20" s="1"/>
      <c r="AU20" s="1"/>
      <c r="AV20" s="1"/>
    </row>
    <row r="22" spans="1:48" ht="18.75">
      <c r="A22" s="55" t="s">
        <v>891</v>
      </c>
    </row>
    <row r="23" spans="1:48" s="1" customFormat="1" ht="57.6" customHeight="1">
      <c r="A23" s="8" t="s">
        <v>1</v>
      </c>
      <c r="B23" s="9" t="s">
        <v>2</v>
      </c>
      <c r="C23" s="8" t="s">
        <v>3</v>
      </c>
      <c r="D23" s="9" t="s">
        <v>4</v>
      </c>
      <c r="E23" s="9" t="s">
        <v>5</v>
      </c>
      <c r="F23" s="8" t="s">
        <v>6</v>
      </c>
      <c r="G23" s="8" t="s">
        <v>7</v>
      </c>
      <c r="H23" s="10" t="s">
        <v>8</v>
      </c>
      <c r="I23" s="11" t="s">
        <v>9</v>
      </c>
      <c r="J23" s="9" t="s">
        <v>10</v>
      </c>
      <c r="K23" s="9" t="s">
        <v>11</v>
      </c>
      <c r="L23" s="9" t="s">
        <v>12</v>
      </c>
      <c r="M23" s="9" t="s">
        <v>13</v>
      </c>
      <c r="N23" s="11" t="s">
        <v>14</v>
      </c>
      <c r="O23" s="9" t="s">
        <v>15</v>
      </c>
      <c r="P23" s="11" t="s">
        <v>16</v>
      </c>
      <c r="Q23" s="8" t="s">
        <v>17</v>
      </c>
      <c r="R23" s="8" t="s">
        <v>18</v>
      </c>
      <c r="S23" s="8" t="s">
        <v>19</v>
      </c>
      <c r="T23" s="8" t="s">
        <v>20</v>
      </c>
      <c r="U23" s="14" t="s">
        <v>733</v>
      </c>
      <c r="V23" s="12" t="s">
        <v>734</v>
      </c>
      <c r="W23" s="12" t="s">
        <v>735</v>
      </c>
      <c r="X23" s="12" t="s">
        <v>736</v>
      </c>
      <c r="Y23" s="12" t="s">
        <v>737</v>
      </c>
      <c r="Z23" s="12" t="s">
        <v>738</v>
      </c>
      <c r="AA23" s="12" t="s">
        <v>739</v>
      </c>
      <c r="AB23" s="12" t="s">
        <v>740</v>
      </c>
      <c r="AC23" s="12" t="s">
        <v>741</v>
      </c>
      <c r="AD23" s="12" t="s">
        <v>742</v>
      </c>
      <c r="AE23" s="12" t="s">
        <v>31</v>
      </c>
      <c r="AF23" s="13" t="s">
        <v>32</v>
      </c>
      <c r="AG23" s="9" t="s">
        <v>33</v>
      </c>
      <c r="AH23" s="9" t="s">
        <v>34</v>
      </c>
      <c r="AI23" s="8" t="s">
        <v>35</v>
      </c>
      <c r="AJ23" s="8" t="s">
        <v>36</v>
      </c>
      <c r="AK23" s="8" t="s">
        <v>37</v>
      </c>
      <c r="AL23" s="8" t="s">
        <v>38</v>
      </c>
      <c r="AM23" s="9" t="s">
        <v>39</v>
      </c>
      <c r="AN23" s="9" t="s">
        <v>40</v>
      </c>
      <c r="AO23" s="9" t="s">
        <v>41</v>
      </c>
      <c r="AP23" s="9" t="s">
        <v>42</v>
      </c>
      <c r="AQ23" s="9" t="s">
        <v>43</v>
      </c>
      <c r="AR23" s="8" t="s">
        <v>44</v>
      </c>
      <c r="AS23" s="8" t="s">
        <v>45</v>
      </c>
      <c r="AT23" s="9" t="s">
        <v>46</v>
      </c>
      <c r="AU23" s="9" t="s">
        <v>47</v>
      </c>
      <c r="AV23" s="9" t="s">
        <v>48</v>
      </c>
    </row>
    <row r="24" spans="1:48" s="1" customFormat="1" ht="45.75">
      <c r="A24" s="15" t="s">
        <v>892</v>
      </c>
      <c r="B24" s="1" t="s">
        <v>887</v>
      </c>
      <c r="C24" s="3"/>
      <c r="D24" s="1" t="s">
        <v>893</v>
      </c>
      <c r="E24" s="1" t="s">
        <v>894</v>
      </c>
      <c r="F24" s="3">
        <v>346151</v>
      </c>
      <c r="G24" s="3">
        <v>730939</v>
      </c>
      <c r="H24" s="4">
        <v>3.3856630000123643E-2</v>
      </c>
      <c r="I24" s="2">
        <v>40276</v>
      </c>
      <c r="J24" s="1" t="s">
        <v>53</v>
      </c>
      <c r="K24" s="1" t="s">
        <v>54</v>
      </c>
      <c r="M24" s="1" t="s">
        <v>895</v>
      </c>
      <c r="N24" s="2">
        <v>44714</v>
      </c>
      <c r="O24" s="1" t="s">
        <v>91</v>
      </c>
      <c r="P24" s="2"/>
      <c r="Q24" s="3">
        <v>1</v>
      </c>
      <c r="R24" s="3">
        <v>1</v>
      </c>
      <c r="S24" s="3">
        <v>0</v>
      </c>
      <c r="T24" s="3">
        <v>0</v>
      </c>
      <c r="U24" s="5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7">
        <v>0</v>
      </c>
      <c r="AG24" s="1" t="s">
        <v>57</v>
      </c>
      <c r="AH24" s="1" t="s">
        <v>58</v>
      </c>
      <c r="AI24" s="3">
        <v>1</v>
      </c>
      <c r="AJ24" s="3">
        <v>0</v>
      </c>
      <c r="AK24" s="3">
        <v>1</v>
      </c>
      <c r="AL24" s="3">
        <v>0</v>
      </c>
      <c r="AM24" s="1" t="s">
        <v>452</v>
      </c>
      <c r="AN24" s="1" t="s">
        <v>798</v>
      </c>
      <c r="AP24" s="1" t="s">
        <v>362</v>
      </c>
      <c r="AQ24" s="1" t="s">
        <v>362</v>
      </c>
      <c r="AR24" s="3" t="s">
        <v>135</v>
      </c>
      <c r="AS24" s="3" t="s">
        <v>63</v>
      </c>
      <c r="AT24" s="1" t="s">
        <v>453</v>
      </c>
    </row>
    <row r="25" spans="1:48" s="1" customFormat="1" ht="45.75">
      <c r="A25" s="15" t="s">
        <v>896</v>
      </c>
      <c r="B25" s="1" t="s">
        <v>897</v>
      </c>
      <c r="C25" s="3"/>
      <c r="D25" s="1" t="s">
        <v>898</v>
      </c>
      <c r="E25" s="1" t="s">
        <v>899</v>
      </c>
      <c r="F25" s="3">
        <v>343109</v>
      </c>
      <c r="G25" s="3">
        <v>732956</v>
      </c>
      <c r="H25" s="4">
        <v>2.198151615561049</v>
      </c>
      <c r="I25" s="2">
        <v>44245</v>
      </c>
      <c r="J25" s="1" t="s">
        <v>53</v>
      </c>
      <c r="K25" s="1" t="s">
        <v>54</v>
      </c>
      <c r="L25" s="1" t="s">
        <v>68</v>
      </c>
      <c r="M25" s="1" t="s">
        <v>900</v>
      </c>
      <c r="N25" s="2">
        <v>44767</v>
      </c>
      <c r="O25" s="1" t="s">
        <v>91</v>
      </c>
      <c r="P25" s="2"/>
      <c r="Q25" s="3">
        <v>42</v>
      </c>
      <c r="R25" s="3">
        <v>42</v>
      </c>
      <c r="S25" s="3">
        <v>0</v>
      </c>
      <c r="T25" s="3">
        <v>0</v>
      </c>
      <c r="U25" s="5">
        <v>0</v>
      </c>
      <c r="V25" s="6">
        <v>22</v>
      </c>
      <c r="W25" s="6">
        <v>20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7">
        <v>42</v>
      </c>
      <c r="AG25" s="1" t="s">
        <v>57</v>
      </c>
      <c r="AH25" s="1" t="s">
        <v>202</v>
      </c>
      <c r="AI25" s="3">
        <v>0</v>
      </c>
      <c r="AJ25" s="3">
        <v>42</v>
      </c>
      <c r="AK25" s="3">
        <v>32</v>
      </c>
      <c r="AL25" s="3">
        <v>10</v>
      </c>
      <c r="AM25" s="1" t="s">
        <v>59</v>
      </c>
      <c r="AN25" s="1" t="s">
        <v>798</v>
      </c>
      <c r="AO25" s="1" t="s">
        <v>901</v>
      </c>
      <c r="AP25" s="1" t="s">
        <v>169</v>
      </c>
      <c r="AQ25" s="1" t="s">
        <v>169</v>
      </c>
      <c r="AR25" s="3" t="s">
        <v>135</v>
      </c>
      <c r="AS25" s="3" t="s">
        <v>136</v>
      </c>
      <c r="AT25" s="1" t="s">
        <v>63</v>
      </c>
    </row>
    <row r="26" spans="1:48" s="1" customFormat="1" ht="30.75">
      <c r="A26" s="15" t="s">
        <v>902</v>
      </c>
      <c r="B26" s="1" t="s">
        <v>903</v>
      </c>
      <c r="C26" s="3"/>
      <c r="D26" s="1" t="s">
        <v>904</v>
      </c>
      <c r="E26" s="1" t="s">
        <v>905</v>
      </c>
      <c r="F26" s="3">
        <v>339644</v>
      </c>
      <c r="G26" s="3">
        <v>730319</v>
      </c>
      <c r="H26" s="4">
        <v>0.15990629869353409</v>
      </c>
      <c r="I26" s="2">
        <v>44831</v>
      </c>
      <c r="J26" s="1" t="s">
        <v>53</v>
      </c>
      <c r="K26" s="1" t="s">
        <v>54</v>
      </c>
      <c r="L26" s="1" t="s">
        <v>68</v>
      </c>
      <c r="M26" s="1" t="s">
        <v>906</v>
      </c>
      <c r="N26" s="2">
        <v>44831</v>
      </c>
      <c r="O26" s="1" t="s">
        <v>91</v>
      </c>
      <c r="P26" s="2"/>
      <c r="Q26" s="3">
        <v>18</v>
      </c>
      <c r="R26" s="3">
        <v>18</v>
      </c>
      <c r="S26" s="3">
        <v>0</v>
      </c>
      <c r="T26" s="3">
        <v>0</v>
      </c>
      <c r="U26" s="5">
        <v>0</v>
      </c>
      <c r="V26" s="6">
        <v>18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7">
        <v>18</v>
      </c>
      <c r="AG26" s="1" t="s">
        <v>57</v>
      </c>
      <c r="AH26" s="1" t="s">
        <v>58</v>
      </c>
      <c r="AI26" s="3">
        <v>18</v>
      </c>
      <c r="AJ26" s="3">
        <v>0</v>
      </c>
      <c r="AK26" s="3">
        <v>18</v>
      </c>
      <c r="AL26" s="3">
        <v>0</v>
      </c>
      <c r="AM26" s="1" t="s">
        <v>59</v>
      </c>
      <c r="AN26" s="1" t="s">
        <v>798</v>
      </c>
      <c r="AP26" s="1" t="s">
        <v>362</v>
      </c>
      <c r="AQ26" s="1" t="s">
        <v>362</v>
      </c>
      <c r="AR26" s="3" t="s">
        <v>135</v>
      </c>
      <c r="AS26" s="3" t="s">
        <v>63</v>
      </c>
      <c r="AT26" s="1" t="s">
        <v>63</v>
      </c>
    </row>
    <row r="27" spans="1:48" s="1" customFormat="1" ht="30.75">
      <c r="A27" s="15" t="s">
        <v>907</v>
      </c>
      <c r="B27" s="1" t="s">
        <v>908</v>
      </c>
      <c r="C27" s="3"/>
      <c r="D27" s="1" t="s">
        <v>909</v>
      </c>
      <c r="E27" s="1" t="s">
        <v>910</v>
      </c>
      <c r="F27" s="3">
        <v>346450</v>
      </c>
      <c r="G27" s="3">
        <v>732090</v>
      </c>
      <c r="H27" s="4">
        <v>0.1038424181907818</v>
      </c>
      <c r="I27" s="2">
        <v>44888</v>
      </c>
      <c r="J27" s="1" t="s">
        <v>53</v>
      </c>
      <c r="K27" s="1" t="s">
        <v>54</v>
      </c>
      <c r="L27" s="1" t="s">
        <v>68</v>
      </c>
      <c r="M27" s="1" t="s">
        <v>911</v>
      </c>
      <c r="N27" s="2">
        <v>44888</v>
      </c>
      <c r="O27" s="1" t="s">
        <v>91</v>
      </c>
      <c r="P27" s="2"/>
      <c r="Q27" s="3">
        <v>1</v>
      </c>
      <c r="R27" s="3">
        <v>1</v>
      </c>
      <c r="S27" s="3">
        <v>0</v>
      </c>
      <c r="T27" s="3">
        <v>0</v>
      </c>
      <c r="U27" s="5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7">
        <v>0</v>
      </c>
      <c r="AG27" s="1" t="s">
        <v>57</v>
      </c>
      <c r="AH27" s="1" t="s">
        <v>58</v>
      </c>
      <c r="AI27" s="3">
        <v>1</v>
      </c>
      <c r="AJ27" s="3">
        <v>0</v>
      </c>
      <c r="AK27" s="3">
        <v>0</v>
      </c>
      <c r="AL27" s="3">
        <v>1</v>
      </c>
      <c r="AM27" s="1" t="s">
        <v>452</v>
      </c>
      <c r="AN27" s="1" t="s">
        <v>798</v>
      </c>
      <c r="AP27" s="1" t="s">
        <v>362</v>
      </c>
      <c r="AQ27" s="1" t="s">
        <v>362</v>
      </c>
      <c r="AR27" s="3" t="s">
        <v>135</v>
      </c>
      <c r="AS27" s="3" t="s">
        <v>63</v>
      </c>
      <c r="AT27" s="1" t="s">
        <v>453</v>
      </c>
    </row>
    <row r="28" spans="1:48" s="1" customFormat="1" ht="30.95" customHeight="1">
      <c r="A28" s="15" t="s">
        <v>912</v>
      </c>
      <c r="B28" s="1" t="s">
        <v>913</v>
      </c>
      <c r="C28" s="3"/>
      <c r="D28" s="1" t="s">
        <v>914</v>
      </c>
      <c r="E28" s="1" t="s">
        <v>915</v>
      </c>
      <c r="F28" s="3">
        <v>340168</v>
      </c>
      <c r="G28" s="3">
        <v>730930</v>
      </c>
      <c r="H28" s="4">
        <v>2.3789875000237951E-2</v>
      </c>
      <c r="I28" s="2">
        <v>44917</v>
      </c>
      <c r="J28" s="1" t="s">
        <v>53</v>
      </c>
      <c r="K28" s="1" t="s">
        <v>54</v>
      </c>
      <c r="L28" s="1" t="s">
        <v>68</v>
      </c>
      <c r="M28" s="1" t="s">
        <v>916</v>
      </c>
      <c r="N28" s="2">
        <v>44917</v>
      </c>
      <c r="O28" s="1" t="s">
        <v>91</v>
      </c>
      <c r="P28" s="2"/>
      <c r="Q28" s="3">
        <v>5</v>
      </c>
      <c r="R28" s="3">
        <v>5</v>
      </c>
      <c r="S28" s="3">
        <v>0</v>
      </c>
      <c r="T28" s="3">
        <v>0</v>
      </c>
      <c r="U28" s="5">
        <v>0</v>
      </c>
      <c r="V28" s="6">
        <v>5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7">
        <v>5</v>
      </c>
      <c r="AG28" s="1" t="s">
        <v>57</v>
      </c>
      <c r="AH28" s="1" t="s">
        <v>58</v>
      </c>
      <c r="AI28" s="3">
        <v>5</v>
      </c>
      <c r="AJ28" s="3">
        <v>0</v>
      </c>
      <c r="AK28" s="3">
        <v>5</v>
      </c>
      <c r="AL28" s="3">
        <v>0</v>
      </c>
      <c r="AM28" s="1" t="s">
        <v>59</v>
      </c>
      <c r="AN28" s="1" t="s">
        <v>798</v>
      </c>
      <c r="AP28" s="1" t="s">
        <v>362</v>
      </c>
      <c r="AQ28" s="1" t="s">
        <v>362</v>
      </c>
      <c r="AR28" s="3" t="s">
        <v>135</v>
      </c>
      <c r="AS28" s="3" t="s">
        <v>63</v>
      </c>
      <c r="AT28" s="1" t="s">
        <v>63</v>
      </c>
    </row>
    <row r="29" spans="1:48" s="1" customFormat="1" ht="32.450000000000003" customHeight="1">
      <c r="A29" s="15" t="s">
        <v>917</v>
      </c>
      <c r="B29" s="1" t="s">
        <v>918</v>
      </c>
      <c r="C29" s="3"/>
      <c r="D29" s="1" t="s">
        <v>919</v>
      </c>
      <c r="E29" s="1" t="s">
        <v>920</v>
      </c>
      <c r="F29" s="3">
        <v>340567</v>
      </c>
      <c r="G29" s="3">
        <v>730410</v>
      </c>
      <c r="H29" s="4">
        <v>4.5363290410882863E-2</v>
      </c>
      <c r="I29" s="2">
        <v>44967</v>
      </c>
      <c r="J29" s="1" t="s">
        <v>53</v>
      </c>
      <c r="K29" s="1" t="s">
        <v>54</v>
      </c>
      <c r="L29" s="1" t="s">
        <v>68</v>
      </c>
      <c r="M29" s="1" t="s">
        <v>921</v>
      </c>
      <c r="N29" s="2">
        <v>44967</v>
      </c>
      <c r="O29" s="1" t="s">
        <v>91</v>
      </c>
      <c r="P29" s="2"/>
      <c r="Q29" s="3">
        <v>8</v>
      </c>
      <c r="R29" s="3">
        <v>8</v>
      </c>
      <c r="S29" s="3">
        <v>0</v>
      </c>
      <c r="T29" s="3">
        <v>0</v>
      </c>
      <c r="U29" s="5">
        <v>0</v>
      </c>
      <c r="V29" s="6">
        <v>0</v>
      </c>
      <c r="W29" s="6">
        <v>8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7">
        <v>8</v>
      </c>
      <c r="AG29" s="1" t="s">
        <v>57</v>
      </c>
      <c r="AH29" s="1" t="s">
        <v>58</v>
      </c>
      <c r="AI29" s="3">
        <v>8</v>
      </c>
      <c r="AJ29" s="3">
        <v>0</v>
      </c>
      <c r="AK29" s="3">
        <v>8</v>
      </c>
      <c r="AL29" s="3">
        <v>0</v>
      </c>
      <c r="AM29" s="1" t="s">
        <v>59</v>
      </c>
      <c r="AN29" s="1" t="s">
        <v>798</v>
      </c>
      <c r="AP29" s="1" t="s">
        <v>922</v>
      </c>
      <c r="AQ29" s="1" t="s">
        <v>922</v>
      </c>
      <c r="AR29" s="3" t="s">
        <v>135</v>
      </c>
      <c r="AS29" s="3" t="s">
        <v>63</v>
      </c>
      <c r="AT29" s="1" t="s">
        <v>63</v>
      </c>
    </row>
    <row r="30" spans="1:48" s="1" customFormat="1" ht="30.75">
      <c r="A30" s="15" t="s">
        <v>923</v>
      </c>
      <c r="B30" s="1" t="s">
        <v>924</v>
      </c>
      <c r="C30" s="3"/>
      <c r="D30" s="1" t="s">
        <v>925</v>
      </c>
      <c r="E30" s="1" t="s">
        <v>926</v>
      </c>
      <c r="F30" s="3">
        <v>333577</v>
      </c>
      <c r="G30" s="3">
        <v>732048</v>
      </c>
      <c r="H30" s="4">
        <v>0.28447622943124001</v>
      </c>
      <c r="I30" s="2">
        <v>45016</v>
      </c>
      <c r="J30" s="1" t="s">
        <v>53</v>
      </c>
      <c r="K30" s="1" t="s">
        <v>54</v>
      </c>
      <c r="L30" s="1" t="s">
        <v>68</v>
      </c>
      <c r="M30" s="1" t="s">
        <v>927</v>
      </c>
      <c r="N30" s="2">
        <v>45016</v>
      </c>
      <c r="O30" s="1" t="s">
        <v>91</v>
      </c>
      <c r="P30" s="2"/>
      <c r="Q30" s="3">
        <v>1</v>
      </c>
      <c r="R30" s="3">
        <v>1</v>
      </c>
      <c r="S30" s="3">
        <v>0</v>
      </c>
      <c r="T30" s="3">
        <v>0</v>
      </c>
      <c r="U30" s="5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7">
        <v>0</v>
      </c>
      <c r="AG30" s="1" t="s">
        <v>57</v>
      </c>
      <c r="AH30" s="1" t="s">
        <v>58</v>
      </c>
      <c r="AI30" s="3">
        <v>1</v>
      </c>
      <c r="AJ30" s="3">
        <v>0</v>
      </c>
      <c r="AK30" s="3">
        <v>0</v>
      </c>
      <c r="AL30" s="3">
        <v>1</v>
      </c>
      <c r="AM30" s="1" t="s">
        <v>452</v>
      </c>
      <c r="AN30" s="1" t="s">
        <v>798</v>
      </c>
      <c r="AP30" s="1" t="s">
        <v>362</v>
      </c>
      <c r="AQ30" s="1" t="s">
        <v>362</v>
      </c>
      <c r="AR30" s="3" t="s">
        <v>62</v>
      </c>
      <c r="AS30" s="3" t="s">
        <v>63</v>
      </c>
      <c r="AT30" s="1" t="s">
        <v>453</v>
      </c>
    </row>
  </sheetData>
  <conditionalFormatting sqref="Q3:AV19 Q24:AV30">
    <cfRule type="cellIs" dxfId="148" priority="1" operator="equal">
      <formula>0</formula>
    </cfRule>
  </conditionalFormatting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3858bf-1930-45f2-9b53-22fd39934824" xsi:nil="true"/>
    <Comments xmlns="db479065-f3ed-4ad0-8ab4-8ba8ea1be4bc" xsi:nil="true"/>
    <lcf76f155ced4ddcb4097134ff3c332f xmlns="db479065-f3ed-4ad0-8ab4-8ba8ea1be4b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6028756A388343914BA1AC137EA5B7" ma:contentTypeVersion="19" ma:contentTypeDescription="Create a new document." ma:contentTypeScope="" ma:versionID="03f6e4a9dc3e368ec1726830b9784361">
  <xsd:schema xmlns:xsd="http://www.w3.org/2001/XMLSchema" xmlns:xs="http://www.w3.org/2001/XMLSchema" xmlns:p="http://schemas.microsoft.com/office/2006/metadata/properties" xmlns:ns2="db479065-f3ed-4ad0-8ab4-8ba8ea1be4bc" xmlns:ns3="743858bf-1930-45f2-9b53-22fd39934824" targetNamespace="http://schemas.microsoft.com/office/2006/metadata/properties" ma:root="true" ma:fieldsID="a2d96b86ec76188f36b2ad7fff384de9" ns2:_="" ns3:_="">
    <xsd:import namespace="db479065-f3ed-4ad0-8ab4-8ba8ea1be4bc"/>
    <xsd:import namespace="743858bf-1930-45f2-9b53-22fd399348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  <xsd:element ref="ns2:Comment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479065-f3ed-4ad0-8ab4-8ba8ea1be4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68f6ed1-2845-4a53-be4b-b0f4dab8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Comments" ma:index="23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858bf-1930-45f2-9b53-22fd399348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9da603e-686b-4ff3-ae7f-8ff3d9267fb2}" ma:internalName="TaxCatchAll" ma:showField="CatchAllData" ma:web="743858bf-1930-45f2-9b53-22fd399348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547DCF-5642-455C-A83C-3FA38F8F736F}"/>
</file>

<file path=customXml/itemProps2.xml><?xml version="1.0" encoding="utf-8"?>
<ds:datastoreItem xmlns:ds="http://schemas.openxmlformats.org/officeDocument/2006/customXml" ds:itemID="{7B3C0D21-09EB-4C78-9ACE-6CD0C4E2BA03}"/>
</file>

<file path=customXml/itemProps3.xml><?xml version="1.0" encoding="utf-8"?>
<ds:datastoreItem xmlns:ds="http://schemas.openxmlformats.org/officeDocument/2006/customXml" ds:itemID="{23728086-E50C-4337-B852-03D31C1560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2026-05-20T09:10:20Z</dcterms:created>
  <dcterms:modified xsi:type="dcterms:W3CDTF">2026-06-30T10:26:06Z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0x010100706028756A388343914BA1AC137EA5B7</vt:lpwstr>
  </property>
  <property fmtid="{D5CDD505-2E9C-101B-9397-08002B2CF9AE}" pid="3" name="MediaServiceImageTags">
    <vt:lpwstr/>
  </property>
</Properties>
</file>